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mossadams-my.sharepoint.com/personal/aaronh_mossadams_ma/Documents/Documents/RHCA/Allocation Audit/"/>
    </mc:Choice>
  </mc:AlternateContent>
  <xr:revisionPtr revIDLastSave="37" documentId="13_ncr:1_{69954A09-FECB-40FE-ADB9-84754A51C735}" xr6:coauthVersionLast="47" xr6:coauthVersionMax="47" xr10:uidLastSave="{512EFA8F-9FBC-40BD-A7A7-7793413BE508}"/>
  <bookViews>
    <workbookView xWindow="-28920" yWindow="-120" windowWidth="29040" windowHeight="15840" xr2:uid="{00000000-000D-0000-FFFF-FFFF00000000}"/>
  </bookViews>
  <sheets>
    <sheet name="Employer Template" sheetId="46" r:id="rId1"/>
    <sheet name="Contribution Allocation_Report" sheetId="27" state="hidden" r:id="rId2"/>
    <sheet name="OPEB Amounts_Report" sheetId="28" state="hidden" r:id="rId3"/>
    <sheet name="PY_OPEB Amounts" sheetId="43" state="hidden" r:id="rId4"/>
    <sheet name="Amortization Tables_Report" sheetId="29" state="hidden" r:id="rId5"/>
    <sheet name="Discount Rate Sensitivity" sheetId="30" state="hidden" r:id="rId6"/>
    <sheet name="Trend Rate Sensitivity" sheetId="31" state="hidden" r:id="rId7"/>
    <sheet name="Change in Proportion Layers" sheetId="32" state="hidden" r:id="rId8"/>
    <sheet name="Change in Proportion Calc" sheetId="33" state="hidden" r:id="rId9"/>
    <sheet name="Contributions_21" sheetId="34" state="hidden" r:id="rId10"/>
    <sheet name="Membership" sheetId="35" state="hidden" r:id="rId11"/>
    <sheet name="Note 3a" sheetId="36" state="hidden" r:id="rId12"/>
    <sheet name="Notes 3b" sheetId="37" state="hidden" r:id="rId13"/>
    <sheet name="Notes 3c" sheetId="38" state="hidden" r:id="rId14"/>
    <sheet name="Note 3d" sheetId="39" state="hidden" r:id="rId15"/>
    <sheet name="Note 5" sheetId="40" state="hidden" r:id="rId16"/>
    <sheet name="Note 5a" sheetId="41" state="hidden" r:id="rId17"/>
    <sheet name="Acerno_Cache_XXXXX" sheetId="24" state="veryHidden" r:id="rId18"/>
  </sheets>
  <externalReferences>
    <externalReference r:id="rId19"/>
    <externalReference r:id="rId20"/>
  </externalReferences>
  <definedNames>
    <definedName name="_xlnm._FilterDatabase" localSheetId="4" hidden="1">'Amortization Tables_Report'!$A$7:$X$324</definedName>
    <definedName name="_xlnm._FilterDatabase" localSheetId="8" hidden="1">'Change in Proportion Calc'!$A$4:$E$319</definedName>
    <definedName name="_xlnm._FilterDatabase" localSheetId="7" hidden="1">'Change in Proportion Layers'!$A$7:$B$322</definedName>
    <definedName name="_xlnm._FilterDatabase" localSheetId="1" hidden="1">'Contribution Allocation_Report'!$A$9:$D$308</definedName>
    <definedName name="_xlnm._FilterDatabase" localSheetId="9" hidden="1">Contributions_21!$E$9:$I$310</definedName>
    <definedName name="_xlnm._FilterDatabase" localSheetId="2" hidden="1">'OPEB Amounts_Report'!$A$7:$Q$324</definedName>
    <definedName name="_xlnm._FilterDatabase" localSheetId="3" hidden="1">'PY_OPEB Amounts'!$A$7:$Q$321</definedName>
    <definedName name="_xlnm.Print_Area" localSheetId="4">'Amortization Tables_Report'!$A$1:$G$331</definedName>
    <definedName name="_xlnm.Print_Area" localSheetId="8">'Change in Proportion Calc'!$A$1:$Q$328</definedName>
    <definedName name="_xlnm.Print_Area" localSheetId="7">'Change in Proportion Layers'!$A$1:$AE$330</definedName>
    <definedName name="_xlnm.Print_Area" localSheetId="1">'Contribution Allocation_Report'!$A$1:$D$314</definedName>
    <definedName name="_xlnm.Print_Area" localSheetId="9">Contributions_21!$A$1:$D$315</definedName>
    <definedName name="_xlnm.Print_Area" localSheetId="5">'Discount Rate Sensitivity'!$A$1:$E$315</definedName>
    <definedName name="_xlnm.Print_Area" localSheetId="2">'OPEB Amounts_Report'!$A$1:$Q$330</definedName>
    <definedName name="_xlnm.Print_Area" localSheetId="3">'PY_OPEB Amounts'!$A$1:$Q$326</definedName>
    <definedName name="_xlnm.Print_Area" localSheetId="6">'Trend Rate Sensitivity'!$A$1:$E$313</definedName>
    <definedName name="_xlnm.Print_Titles" localSheetId="4">'Amortization Tables_Report'!$1:$9</definedName>
    <definedName name="_xlnm.Print_Titles" localSheetId="1">'Contribution Allocation_Report'!$1:$8</definedName>
    <definedName name="_xlnm.Print_Titles" localSheetId="9">Contributions_21!$1:$8</definedName>
    <definedName name="_xlnm.Print_Titles" localSheetId="5">'Discount Rate Sensitivity'!$1:$7</definedName>
    <definedName name="_xlnm.Print_Titles" localSheetId="2">'OPEB Amounts_Report'!$1:$9</definedName>
    <definedName name="_xlnm.Print_Titles" localSheetId="3">'PY_OPEB Amounts'!$1:$9</definedName>
    <definedName name="_xlnm.Print_Titles" localSheetId="6">'Trend Rate Sensitivity'!$1:$7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46" l="1"/>
  <c r="E102" i="46"/>
  <c r="E101" i="46"/>
  <c r="E100" i="46"/>
  <c r="E99" i="46"/>
  <c r="E91" i="46"/>
  <c r="E89" i="46"/>
  <c r="E87" i="46"/>
  <c r="E77" i="46"/>
  <c r="E75" i="46"/>
  <c r="E72" i="46"/>
  <c r="E68" i="46"/>
  <c r="E60" i="46"/>
  <c r="E59" i="46"/>
  <c r="E58" i="46"/>
  <c r="E35" i="46"/>
  <c r="E28" i="46"/>
  <c r="E117" i="46" s="1"/>
  <c r="E26" i="46"/>
  <c r="E36" i="46" s="1"/>
  <c r="E24" i="46"/>
  <c r="E34" i="46" s="1"/>
  <c r="E22" i="46"/>
  <c r="E20" i="46"/>
  <c r="E114" i="46" s="1"/>
  <c r="E119" i="46" s="1"/>
  <c r="E54" i="46"/>
  <c r="E53" i="46"/>
  <c r="E52" i="46"/>
  <c r="E8" i="30"/>
  <c r="D8" i="30"/>
  <c r="C8" i="30"/>
  <c r="E138" i="46"/>
  <c r="E135" i="46"/>
  <c r="E80" i="46"/>
  <c r="E43" i="46"/>
  <c r="E44" i="46" s="1"/>
  <c r="E142" i="46"/>
  <c r="F4" i="46"/>
  <c r="E33" i="46" l="1"/>
  <c r="E37" i="46" s="1"/>
  <c r="E82" i="46"/>
  <c r="E104" i="46"/>
  <c r="E93" i="46"/>
  <c r="E145" i="46"/>
  <c r="N327" i="43" l="1"/>
  <c r="P321" i="43"/>
  <c r="Q321" i="43" s="1"/>
  <c r="L321" i="43"/>
  <c r="M321" i="43" s="1"/>
  <c r="F321" i="43"/>
  <c r="G321" i="43" s="1"/>
  <c r="P320" i="43"/>
  <c r="Q320" i="43" s="1"/>
  <c r="L320" i="43"/>
  <c r="M320" i="43" s="1"/>
  <c r="F320" i="43"/>
  <c r="G320" i="43" s="1"/>
  <c r="P319" i="43"/>
  <c r="Q319" i="43" s="1"/>
  <c r="L319" i="43"/>
  <c r="M319" i="43" s="1"/>
  <c r="F319" i="43"/>
  <c r="G319" i="43" s="1"/>
  <c r="P318" i="43"/>
  <c r="Q318" i="43" s="1"/>
  <c r="L318" i="43"/>
  <c r="M318" i="43" s="1"/>
  <c r="F318" i="43"/>
  <c r="G318" i="43" s="1"/>
  <c r="P317" i="43"/>
  <c r="Q317" i="43" s="1"/>
  <c r="L317" i="43"/>
  <c r="M317" i="43" s="1"/>
  <c r="F317" i="43"/>
  <c r="G317" i="43" s="1"/>
  <c r="P316" i="43"/>
  <c r="Q316" i="43" s="1"/>
  <c r="L316" i="43"/>
  <c r="M316" i="43" s="1"/>
  <c r="F316" i="43"/>
  <c r="G316" i="43" s="1"/>
  <c r="P315" i="43"/>
  <c r="Q315" i="43" s="1"/>
  <c r="L315" i="43"/>
  <c r="M315" i="43" s="1"/>
  <c r="F315" i="43"/>
  <c r="G315" i="43" s="1"/>
  <c r="P314" i="43"/>
  <c r="Q314" i="43" s="1"/>
  <c r="L314" i="43"/>
  <c r="M314" i="43" s="1"/>
  <c r="F314" i="43"/>
  <c r="G314" i="43" s="1"/>
  <c r="P313" i="43"/>
  <c r="Q313" i="43" s="1"/>
  <c r="L313" i="43"/>
  <c r="M313" i="43" s="1"/>
  <c r="F313" i="43"/>
  <c r="G313" i="43" s="1"/>
  <c r="P312" i="43"/>
  <c r="Q312" i="43" s="1"/>
  <c r="L312" i="43"/>
  <c r="M312" i="43" s="1"/>
  <c r="F312" i="43"/>
  <c r="G312" i="43" s="1"/>
  <c r="P311" i="43"/>
  <c r="O311" i="43"/>
  <c r="L311" i="43"/>
  <c r="K311" i="43"/>
  <c r="J311" i="43"/>
  <c r="I311" i="43"/>
  <c r="F311" i="43"/>
  <c r="E311" i="43"/>
  <c r="D311" i="43"/>
  <c r="C311" i="43"/>
  <c r="P310" i="43"/>
  <c r="O310" i="43"/>
  <c r="L310" i="43"/>
  <c r="K310" i="43"/>
  <c r="J310" i="43"/>
  <c r="I310" i="43"/>
  <c r="F310" i="43"/>
  <c r="E310" i="43"/>
  <c r="D310" i="43"/>
  <c r="C310" i="43"/>
  <c r="P309" i="43"/>
  <c r="O309" i="43"/>
  <c r="L309" i="43"/>
  <c r="K309" i="43"/>
  <c r="J309" i="43"/>
  <c r="I309" i="43"/>
  <c r="F309" i="43"/>
  <c r="E309" i="43"/>
  <c r="D309" i="43"/>
  <c r="C309" i="43"/>
  <c r="P308" i="43"/>
  <c r="O308" i="43"/>
  <c r="L308" i="43"/>
  <c r="K308" i="43"/>
  <c r="J308" i="43"/>
  <c r="I308" i="43"/>
  <c r="F308" i="43"/>
  <c r="E308" i="43"/>
  <c r="D308" i="43"/>
  <c r="C308" i="43"/>
  <c r="P307" i="43"/>
  <c r="O307" i="43"/>
  <c r="L307" i="43"/>
  <c r="K307" i="43"/>
  <c r="J307" i="43"/>
  <c r="I307" i="43"/>
  <c r="F307" i="43"/>
  <c r="E307" i="43"/>
  <c r="D307" i="43"/>
  <c r="C307" i="43"/>
  <c r="P306" i="43"/>
  <c r="O306" i="43"/>
  <c r="L306" i="43"/>
  <c r="K306" i="43"/>
  <c r="J306" i="43"/>
  <c r="I306" i="43"/>
  <c r="F306" i="43"/>
  <c r="E306" i="43"/>
  <c r="D306" i="43"/>
  <c r="C306" i="43"/>
  <c r="P305" i="43"/>
  <c r="O305" i="43"/>
  <c r="L305" i="43"/>
  <c r="K305" i="43"/>
  <c r="J305" i="43"/>
  <c r="I305" i="43"/>
  <c r="F305" i="43"/>
  <c r="E305" i="43"/>
  <c r="D305" i="43"/>
  <c r="C305" i="43"/>
  <c r="P304" i="43"/>
  <c r="O304" i="43"/>
  <c r="L304" i="43"/>
  <c r="K304" i="43"/>
  <c r="J304" i="43"/>
  <c r="I304" i="43"/>
  <c r="F304" i="43"/>
  <c r="E304" i="43"/>
  <c r="D304" i="43"/>
  <c r="C304" i="43"/>
  <c r="P303" i="43"/>
  <c r="O303" i="43"/>
  <c r="Q303" i="43" s="1"/>
  <c r="L303" i="43"/>
  <c r="K303" i="43"/>
  <c r="J303" i="43"/>
  <c r="I303" i="43"/>
  <c r="F303" i="43"/>
  <c r="E303" i="43"/>
  <c r="D303" i="43"/>
  <c r="C303" i="43"/>
  <c r="P302" i="43"/>
  <c r="O302" i="43"/>
  <c r="L302" i="43"/>
  <c r="K302" i="43"/>
  <c r="J302" i="43"/>
  <c r="I302" i="43"/>
  <c r="F302" i="43"/>
  <c r="E302" i="43"/>
  <c r="D302" i="43"/>
  <c r="C302" i="43"/>
  <c r="P301" i="43"/>
  <c r="O301" i="43"/>
  <c r="L301" i="43"/>
  <c r="K301" i="43"/>
  <c r="J301" i="43"/>
  <c r="I301" i="43"/>
  <c r="F301" i="43"/>
  <c r="E301" i="43"/>
  <c r="D301" i="43"/>
  <c r="C301" i="43"/>
  <c r="P300" i="43"/>
  <c r="O300" i="43"/>
  <c r="L300" i="43"/>
  <c r="K300" i="43"/>
  <c r="J300" i="43"/>
  <c r="I300" i="43"/>
  <c r="F300" i="43"/>
  <c r="E300" i="43"/>
  <c r="D300" i="43"/>
  <c r="C300" i="43"/>
  <c r="P299" i="43"/>
  <c r="O299" i="43"/>
  <c r="L299" i="43"/>
  <c r="K299" i="43"/>
  <c r="J299" i="43"/>
  <c r="I299" i="43"/>
  <c r="F299" i="43"/>
  <c r="E299" i="43"/>
  <c r="D299" i="43"/>
  <c r="C299" i="43"/>
  <c r="P298" i="43"/>
  <c r="O298" i="43"/>
  <c r="L298" i="43"/>
  <c r="K298" i="43"/>
  <c r="J298" i="43"/>
  <c r="I298" i="43"/>
  <c r="F298" i="43"/>
  <c r="E298" i="43"/>
  <c r="D298" i="43"/>
  <c r="C298" i="43"/>
  <c r="P297" i="43"/>
  <c r="O297" i="43"/>
  <c r="L297" i="43"/>
  <c r="K297" i="43"/>
  <c r="J297" i="43"/>
  <c r="I297" i="43"/>
  <c r="F297" i="43"/>
  <c r="E297" i="43"/>
  <c r="D297" i="43"/>
  <c r="C297" i="43"/>
  <c r="P296" i="43"/>
  <c r="O296" i="43"/>
  <c r="L296" i="43"/>
  <c r="K296" i="43"/>
  <c r="J296" i="43"/>
  <c r="I296" i="43"/>
  <c r="F296" i="43"/>
  <c r="E296" i="43"/>
  <c r="D296" i="43"/>
  <c r="C296" i="43"/>
  <c r="P295" i="43"/>
  <c r="O295" i="43"/>
  <c r="L295" i="43"/>
  <c r="K295" i="43"/>
  <c r="J295" i="43"/>
  <c r="I295" i="43"/>
  <c r="F295" i="43"/>
  <c r="E295" i="43"/>
  <c r="D295" i="43"/>
  <c r="C295" i="43"/>
  <c r="P294" i="43"/>
  <c r="O294" i="43"/>
  <c r="L294" i="43"/>
  <c r="K294" i="43"/>
  <c r="J294" i="43"/>
  <c r="I294" i="43"/>
  <c r="F294" i="43"/>
  <c r="E294" i="43"/>
  <c r="D294" i="43"/>
  <c r="C294" i="43"/>
  <c r="P293" i="43"/>
  <c r="O293" i="43"/>
  <c r="L293" i="43"/>
  <c r="K293" i="43"/>
  <c r="J293" i="43"/>
  <c r="I293" i="43"/>
  <c r="F293" i="43"/>
  <c r="E293" i="43"/>
  <c r="D293" i="43"/>
  <c r="C293" i="43"/>
  <c r="P292" i="43"/>
  <c r="O292" i="43"/>
  <c r="L292" i="43"/>
  <c r="K292" i="43"/>
  <c r="J292" i="43"/>
  <c r="I292" i="43"/>
  <c r="F292" i="43"/>
  <c r="E292" i="43"/>
  <c r="D292" i="43"/>
  <c r="C292" i="43"/>
  <c r="P291" i="43"/>
  <c r="O291" i="43"/>
  <c r="L291" i="43"/>
  <c r="K291" i="43"/>
  <c r="J291" i="43"/>
  <c r="I291" i="43"/>
  <c r="F291" i="43"/>
  <c r="E291" i="43"/>
  <c r="D291" i="43"/>
  <c r="C291" i="43"/>
  <c r="P290" i="43"/>
  <c r="O290" i="43"/>
  <c r="L290" i="43"/>
  <c r="K290" i="43"/>
  <c r="J290" i="43"/>
  <c r="I290" i="43"/>
  <c r="F290" i="43"/>
  <c r="E290" i="43"/>
  <c r="D290" i="43"/>
  <c r="C290" i="43"/>
  <c r="P289" i="43"/>
  <c r="O289" i="43"/>
  <c r="L289" i="43"/>
  <c r="K289" i="43"/>
  <c r="J289" i="43"/>
  <c r="I289" i="43"/>
  <c r="F289" i="43"/>
  <c r="E289" i="43"/>
  <c r="D289" i="43"/>
  <c r="C289" i="43"/>
  <c r="P288" i="43"/>
  <c r="O288" i="43"/>
  <c r="L288" i="43"/>
  <c r="K288" i="43"/>
  <c r="J288" i="43"/>
  <c r="I288" i="43"/>
  <c r="F288" i="43"/>
  <c r="E288" i="43"/>
  <c r="D288" i="43"/>
  <c r="C288" i="43"/>
  <c r="P287" i="43"/>
  <c r="O287" i="43"/>
  <c r="L287" i="43"/>
  <c r="K287" i="43"/>
  <c r="J287" i="43"/>
  <c r="I287" i="43"/>
  <c r="F287" i="43"/>
  <c r="E287" i="43"/>
  <c r="D287" i="43"/>
  <c r="C287" i="43"/>
  <c r="P286" i="43"/>
  <c r="O286" i="43"/>
  <c r="L286" i="43"/>
  <c r="K286" i="43"/>
  <c r="J286" i="43"/>
  <c r="I286" i="43"/>
  <c r="F286" i="43"/>
  <c r="E286" i="43"/>
  <c r="D286" i="43"/>
  <c r="C286" i="43"/>
  <c r="P285" i="43"/>
  <c r="O285" i="43"/>
  <c r="L285" i="43"/>
  <c r="K285" i="43"/>
  <c r="J285" i="43"/>
  <c r="I285" i="43"/>
  <c r="F285" i="43"/>
  <c r="E285" i="43"/>
  <c r="D285" i="43"/>
  <c r="C285" i="43"/>
  <c r="P284" i="43"/>
  <c r="O284" i="43"/>
  <c r="L284" i="43"/>
  <c r="K284" i="43"/>
  <c r="J284" i="43"/>
  <c r="I284" i="43"/>
  <c r="F284" i="43"/>
  <c r="E284" i="43"/>
  <c r="D284" i="43"/>
  <c r="C284" i="43"/>
  <c r="P283" i="43"/>
  <c r="O283" i="43"/>
  <c r="L283" i="43"/>
  <c r="K283" i="43"/>
  <c r="J283" i="43"/>
  <c r="I283" i="43"/>
  <c r="F283" i="43"/>
  <c r="E283" i="43"/>
  <c r="D283" i="43"/>
  <c r="C283" i="43"/>
  <c r="P282" i="43"/>
  <c r="O282" i="43"/>
  <c r="L282" i="43"/>
  <c r="K282" i="43"/>
  <c r="J282" i="43"/>
  <c r="I282" i="43"/>
  <c r="F282" i="43"/>
  <c r="E282" i="43"/>
  <c r="D282" i="43"/>
  <c r="C282" i="43"/>
  <c r="P281" i="43"/>
  <c r="O281" i="43"/>
  <c r="L281" i="43"/>
  <c r="K281" i="43"/>
  <c r="J281" i="43"/>
  <c r="I281" i="43"/>
  <c r="F281" i="43"/>
  <c r="E281" i="43"/>
  <c r="D281" i="43"/>
  <c r="C281" i="43"/>
  <c r="P280" i="43"/>
  <c r="O280" i="43"/>
  <c r="L280" i="43"/>
  <c r="K280" i="43"/>
  <c r="J280" i="43"/>
  <c r="I280" i="43"/>
  <c r="F280" i="43"/>
  <c r="E280" i="43"/>
  <c r="D280" i="43"/>
  <c r="C280" i="43"/>
  <c r="P279" i="43"/>
  <c r="O279" i="43"/>
  <c r="L279" i="43"/>
  <c r="K279" i="43"/>
  <c r="J279" i="43"/>
  <c r="I279" i="43"/>
  <c r="F279" i="43"/>
  <c r="E279" i="43"/>
  <c r="D279" i="43"/>
  <c r="C279" i="43"/>
  <c r="P278" i="43"/>
  <c r="O278" i="43"/>
  <c r="L278" i="43"/>
  <c r="K278" i="43"/>
  <c r="J278" i="43"/>
  <c r="I278" i="43"/>
  <c r="F278" i="43"/>
  <c r="E278" i="43"/>
  <c r="D278" i="43"/>
  <c r="C278" i="43"/>
  <c r="P277" i="43"/>
  <c r="O277" i="43"/>
  <c r="L277" i="43"/>
  <c r="K277" i="43"/>
  <c r="J277" i="43"/>
  <c r="I277" i="43"/>
  <c r="F277" i="43"/>
  <c r="E277" i="43"/>
  <c r="D277" i="43"/>
  <c r="C277" i="43"/>
  <c r="P276" i="43"/>
  <c r="O276" i="43"/>
  <c r="L276" i="43"/>
  <c r="K276" i="43"/>
  <c r="J276" i="43"/>
  <c r="I276" i="43"/>
  <c r="F276" i="43"/>
  <c r="E276" i="43"/>
  <c r="D276" i="43"/>
  <c r="C276" i="43"/>
  <c r="P275" i="43"/>
  <c r="O275" i="43"/>
  <c r="L275" i="43"/>
  <c r="K275" i="43"/>
  <c r="J275" i="43"/>
  <c r="I275" i="43"/>
  <c r="F275" i="43"/>
  <c r="E275" i="43"/>
  <c r="D275" i="43"/>
  <c r="C275" i="43"/>
  <c r="P274" i="43"/>
  <c r="O274" i="43"/>
  <c r="L274" i="43"/>
  <c r="K274" i="43"/>
  <c r="J274" i="43"/>
  <c r="I274" i="43"/>
  <c r="F274" i="43"/>
  <c r="E274" i="43"/>
  <c r="D274" i="43"/>
  <c r="C274" i="43"/>
  <c r="P273" i="43"/>
  <c r="O273" i="43"/>
  <c r="L273" i="43"/>
  <c r="K273" i="43"/>
  <c r="J273" i="43"/>
  <c r="I273" i="43"/>
  <c r="F273" i="43"/>
  <c r="E273" i="43"/>
  <c r="D273" i="43"/>
  <c r="C273" i="43"/>
  <c r="P272" i="43"/>
  <c r="O272" i="43"/>
  <c r="L272" i="43"/>
  <c r="K272" i="43"/>
  <c r="J272" i="43"/>
  <c r="I272" i="43"/>
  <c r="F272" i="43"/>
  <c r="E272" i="43"/>
  <c r="D272" i="43"/>
  <c r="C272" i="43"/>
  <c r="P271" i="43"/>
  <c r="O271" i="43"/>
  <c r="L271" i="43"/>
  <c r="K271" i="43"/>
  <c r="J271" i="43"/>
  <c r="I271" i="43"/>
  <c r="F271" i="43"/>
  <c r="E271" i="43"/>
  <c r="D271" i="43"/>
  <c r="C271" i="43"/>
  <c r="P270" i="43"/>
  <c r="O270" i="43"/>
  <c r="L270" i="43"/>
  <c r="K270" i="43"/>
  <c r="J270" i="43"/>
  <c r="I270" i="43"/>
  <c r="F270" i="43"/>
  <c r="E270" i="43"/>
  <c r="D270" i="43"/>
  <c r="C270" i="43"/>
  <c r="P269" i="43"/>
  <c r="O269" i="43"/>
  <c r="L269" i="43"/>
  <c r="K269" i="43"/>
  <c r="J269" i="43"/>
  <c r="I269" i="43"/>
  <c r="F269" i="43"/>
  <c r="E269" i="43"/>
  <c r="D269" i="43"/>
  <c r="C269" i="43"/>
  <c r="P268" i="43"/>
  <c r="O268" i="43"/>
  <c r="L268" i="43"/>
  <c r="K268" i="43"/>
  <c r="J268" i="43"/>
  <c r="I268" i="43"/>
  <c r="F268" i="43"/>
  <c r="E268" i="43"/>
  <c r="D268" i="43"/>
  <c r="C268" i="43"/>
  <c r="P267" i="43"/>
  <c r="O267" i="43"/>
  <c r="L267" i="43"/>
  <c r="K267" i="43"/>
  <c r="J267" i="43"/>
  <c r="I267" i="43"/>
  <c r="F267" i="43"/>
  <c r="E267" i="43"/>
  <c r="D267" i="43"/>
  <c r="C267" i="43"/>
  <c r="P266" i="43"/>
  <c r="O266" i="43"/>
  <c r="L266" i="43"/>
  <c r="K266" i="43"/>
  <c r="J266" i="43"/>
  <c r="I266" i="43"/>
  <c r="F266" i="43"/>
  <c r="E266" i="43"/>
  <c r="D266" i="43"/>
  <c r="C266" i="43"/>
  <c r="P265" i="43"/>
  <c r="O265" i="43"/>
  <c r="L265" i="43"/>
  <c r="K265" i="43"/>
  <c r="J265" i="43"/>
  <c r="I265" i="43"/>
  <c r="F265" i="43"/>
  <c r="E265" i="43"/>
  <c r="D265" i="43"/>
  <c r="C265" i="43"/>
  <c r="P264" i="43"/>
  <c r="O264" i="43"/>
  <c r="L264" i="43"/>
  <c r="K264" i="43"/>
  <c r="J264" i="43"/>
  <c r="I264" i="43"/>
  <c r="F264" i="43"/>
  <c r="E264" i="43"/>
  <c r="D264" i="43"/>
  <c r="C264" i="43"/>
  <c r="P263" i="43"/>
  <c r="O263" i="43"/>
  <c r="L263" i="43"/>
  <c r="K263" i="43"/>
  <c r="J263" i="43"/>
  <c r="I263" i="43"/>
  <c r="F263" i="43"/>
  <c r="E263" i="43"/>
  <c r="D263" i="43"/>
  <c r="C263" i="43"/>
  <c r="P262" i="43"/>
  <c r="O262" i="43"/>
  <c r="L262" i="43"/>
  <c r="K262" i="43"/>
  <c r="J262" i="43"/>
  <c r="I262" i="43"/>
  <c r="F262" i="43"/>
  <c r="E262" i="43"/>
  <c r="D262" i="43"/>
  <c r="C262" i="43"/>
  <c r="P261" i="43"/>
  <c r="O261" i="43"/>
  <c r="L261" i="43"/>
  <c r="K261" i="43"/>
  <c r="J261" i="43"/>
  <c r="I261" i="43"/>
  <c r="F261" i="43"/>
  <c r="E261" i="43"/>
  <c r="D261" i="43"/>
  <c r="C261" i="43"/>
  <c r="P260" i="43"/>
  <c r="O260" i="43"/>
  <c r="L260" i="43"/>
  <c r="K260" i="43"/>
  <c r="J260" i="43"/>
  <c r="I260" i="43"/>
  <c r="F260" i="43"/>
  <c r="E260" i="43"/>
  <c r="D260" i="43"/>
  <c r="C260" i="43"/>
  <c r="P259" i="43"/>
  <c r="O259" i="43"/>
  <c r="L259" i="43"/>
  <c r="K259" i="43"/>
  <c r="J259" i="43"/>
  <c r="I259" i="43"/>
  <c r="F259" i="43"/>
  <c r="E259" i="43"/>
  <c r="D259" i="43"/>
  <c r="C259" i="43"/>
  <c r="P258" i="43"/>
  <c r="O258" i="43"/>
  <c r="L258" i="43"/>
  <c r="K258" i="43"/>
  <c r="J258" i="43"/>
  <c r="I258" i="43"/>
  <c r="F258" i="43"/>
  <c r="E258" i="43"/>
  <c r="D258" i="43"/>
  <c r="C258" i="43"/>
  <c r="P257" i="43"/>
  <c r="O257" i="43"/>
  <c r="L257" i="43"/>
  <c r="K257" i="43"/>
  <c r="J257" i="43"/>
  <c r="I257" i="43"/>
  <c r="F257" i="43"/>
  <c r="E257" i="43"/>
  <c r="D257" i="43"/>
  <c r="C257" i="43"/>
  <c r="P256" i="43"/>
  <c r="O256" i="43"/>
  <c r="L256" i="43"/>
  <c r="K256" i="43"/>
  <c r="J256" i="43"/>
  <c r="I256" i="43"/>
  <c r="F256" i="43"/>
  <c r="E256" i="43"/>
  <c r="D256" i="43"/>
  <c r="C256" i="43"/>
  <c r="P255" i="43"/>
  <c r="O255" i="43"/>
  <c r="L255" i="43"/>
  <c r="K255" i="43"/>
  <c r="J255" i="43"/>
  <c r="I255" i="43"/>
  <c r="F255" i="43"/>
  <c r="E255" i="43"/>
  <c r="D255" i="43"/>
  <c r="C255" i="43"/>
  <c r="P254" i="43"/>
  <c r="O254" i="43"/>
  <c r="L254" i="43"/>
  <c r="K254" i="43"/>
  <c r="J254" i="43"/>
  <c r="I254" i="43"/>
  <c r="F254" i="43"/>
  <c r="E254" i="43"/>
  <c r="D254" i="43"/>
  <c r="C254" i="43"/>
  <c r="P253" i="43"/>
  <c r="O253" i="43"/>
  <c r="L253" i="43"/>
  <c r="K253" i="43"/>
  <c r="J253" i="43"/>
  <c r="I253" i="43"/>
  <c r="F253" i="43"/>
  <c r="E253" i="43"/>
  <c r="D253" i="43"/>
  <c r="C253" i="43"/>
  <c r="P252" i="43"/>
  <c r="O252" i="43"/>
  <c r="L252" i="43"/>
  <c r="K252" i="43"/>
  <c r="J252" i="43"/>
  <c r="I252" i="43"/>
  <c r="F252" i="43"/>
  <c r="E252" i="43"/>
  <c r="D252" i="43"/>
  <c r="C252" i="43"/>
  <c r="P251" i="43"/>
  <c r="O251" i="43"/>
  <c r="L251" i="43"/>
  <c r="K251" i="43"/>
  <c r="J251" i="43"/>
  <c r="I251" i="43"/>
  <c r="F251" i="43"/>
  <c r="E251" i="43"/>
  <c r="D251" i="43"/>
  <c r="C251" i="43"/>
  <c r="P250" i="43"/>
  <c r="O250" i="43"/>
  <c r="L250" i="43"/>
  <c r="K250" i="43"/>
  <c r="J250" i="43"/>
  <c r="I250" i="43"/>
  <c r="F250" i="43"/>
  <c r="E250" i="43"/>
  <c r="D250" i="43"/>
  <c r="C250" i="43"/>
  <c r="P249" i="43"/>
  <c r="O249" i="43"/>
  <c r="L249" i="43"/>
  <c r="K249" i="43"/>
  <c r="J249" i="43"/>
  <c r="I249" i="43"/>
  <c r="F249" i="43"/>
  <c r="E249" i="43"/>
  <c r="D249" i="43"/>
  <c r="C249" i="43"/>
  <c r="P248" i="43"/>
  <c r="O248" i="43"/>
  <c r="L248" i="43"/>
  <c r="K248" i="43"/>
  <c r="J248" i="43"/>
  <c r="I248" i="43"/>
  <c r="F248" i="43"/>
  <c r="E248" i="43"/>
  <c r="D248" i="43"/>
  <c r="C248" i="43"/>
  <c r="P247" i="43"/>
  <c r="O247" i="43"/>
  <c r="L247" i="43"/>
  <c r="K247" i="43"/>
  <c r="J247" i="43"/>
  <c r="I247" i="43"/>
  <c r="F247" i="43"/>
  <c r="E247" i="43"/>
  <c r="D247" i="43"/>
  <c r="C247" i="43"/>
  <c r="P246" i="43"/>
  <c r="O246" i="43"/>
  <c r="L246" i="43"/>
  <c r="K246" i="43"/>
  <c r="J246" i="43"/>
  <c r="I246" i="43"/>
  <c r="F246" i="43"/>
  <c r="E246" i="43"/>
  <c r="D246" i="43"/>
  <c r="C246" i="43"/>
  <c r="P245" i="43"/>
  <c r="O245" i="43"/>
  <c r="L245" i="43"/>
  <c r="K245" i="43"/>
  <c r="J245" i="43"/>
  <c r="I245" i="43"/>
  <c r="F245" i="43"/>
  <c r="E245" i="43"/>
  <c r="D245" i="43"/>
  <c r="C245" i="43"/>
  <c r="P244" i="43"/>
  <c r="O244" i="43"/>
  <c r="L244" i="43"/>
  <c r="K244" i="43"/>
  <c r="J244" i="43"/>
  <c r="I244" i="43"/>
  <c r="F244" i="43"/>
  <c r="E244" i="43"/>
  <c r="D244" i="43"/>
  <c r="C244" i="43"/>
  <c r="P243" i="43"/>
  <c r="O243" i="43"/>
  <c r="L243" i="43"/>
  <c r="K243" i="43"/>
  <c r="J243" i="43"/>
  <c r="I243" i="43"/>
  <c r="F243" i="43"/>
  <c r="E243" i="43"/>
  <c r="D243" i="43"/>
  <c r="C243" i="43"/>
  <c r="P242" i="43"/>
  <c r="O242" i="43"/>
  <c r="L242" i="43"/>
  <c r="K242" i="43"/>
  <c r="J242" i="43"/>
  <c r="I242" i="43"/>
  <c r="F242" i="43"/>
  <c r="E242" i="43"/>
  <c r="D242" i="43"/>
  <c r="C242" i="43"/>
  <c r="P241" i="43"/>
  <c r="O241" i="43"/>
  <c r="L241" i="43"/>
  <c r="K241" i="43"/>
  <c r="J241" i="43"/>
  <c r="I241" i="43"/>
  <c r="F241" i="43"/>
  <c r="E241" i="43"/>
  <c r="D241" i="43"/>
  <c r="C241" i="43"/>
  <c r="P240" i="43"/>
  <c r="O240" i="43"/>
  <c r="L240" i="43"/>
  <c r="K240" i="43"/>
  <c r="J240" i="43"/>
  <c r="I240" i="43"/>
  <c r="F240" i="43"/>
  <c r="E240" i="43"/>
  <c r="D240" i="43"/>
  <c r="C240" i="43"/>
  <c r="P239" i="43"/>
  <c r="O239" i="43"/>
  <c r="L239" i="43"/>
  <c r="K239" i="43"/>
  <c r="J239" i="43"/>
  <c r="I239" i="43"/>
  <c r="F239" i="43"/>
  <c r="E239" i="43"/>
  <c r="D239" i="43"/>
  <c r="C239" i="43"/>
  <c r="P238" i="43"/>
  <c r="O238" i="43"/>
  <c r="L238" i="43"/>
  <c r="K238" i="43"/>
  <c r="J238" i="43"/>
  <c r="I238" i="43"/>
  <c r="F238" i="43"/>
  <c r="E238" i="43"/>
  <c r="D238" i="43"/>
  <c r="C238" i="43"/>
  <c r="P237" i="43"/>
  <c r="O237" i="43"/>
  <c r="L237" i="43"/>
  <c r="K237" i="43"/>
  <c r="J237" i="43"/>
  <c r="I237" i="43"/>
  <c r="F237" i="43"/>
  <c r="E237" i="43"/>
  <c r="D237" i="43"/>
  <c r="C237" i="43"/>
  <c r="P236" i="43"/>
  <c r="O236" i="43"/>
  <c r="L236" i="43"/>
  <c r="K236" i="43"/>
  <c r="J236" i="43"/>
  <c r="I236" i="43"/>
  <c r="F236" i="43"/>
  <c r="E236" i="43"/>
  <c r="D236" i="43"/>
  <c r="C236" i="43"/>
  <c r="P235" i="43"/>
  <c r="O235" i="43"/>
  <c r="L235" i="43"/>
  <c r="K235" i="43"/>
  <c r="J235" i="43"/>
  <c r="I235" i="43"/>
  <c r="F235" i="43"/>
  <c r="E235" i="43"/>
  <c r="D235" i="43"/>
  <c r="C235" i="43"/>
  <c r="P234" i="43"/>
  <c r="O234" i="43"/>
  <c r="L234" i="43"/>
  <c r="K234" i="43"/>
  <c r="J234" i="43"/>
  <c r="I234" i="43"/>
  <c r="F234" i="43"/>
  <c r="E234" i="43"/>
  <c r="D234" i="43"/>
  <c r="C234" i="43"/>
  <c r="P233" i="43"/>
  <c r="O233" i="43"/>
  <c r="L233" i="43"/>
  <c r="K233" i="43"/>
  <c r="J233" i="43"/>
  <c r="I233" i="43"/>
  <c r="F233" i="43"/>
  <c r="G233" i="43" s="1"/>
  <c r="E233" i="43"/>
  <c r="D233" i="43"/>
  <c r="C233" i="43"/>
  <c r="P232" i="43"/>
  <c r="O232" i="43"/>
  <c r="L232" i="43"/>
  <c r="K232" i="43"/>
  <c r="J232" i="43"/>
  <c r="I232" i="43"/>
  <c r="F232" i="43"/>
  <c r="E232" i="43"/>
  <c r="D232" i="43"/>
  <c r="C232" i="43"/>
  <c r="P231" i="43"/>
  <c r="O231" i="43"/>
  <c r="L231" i="43"/>
  <c r="K231" i="43"/>
  <c r="J231" i="43"/>
  <c r="I231" i="43"/>
  <c r="F231" i="43"/>
  <c r="E231" i="43"/>
  <c r="D231" i="43"/>
  <c r="C231" i="43"/>
  <c r="P230" i="43"/>
  <c r="O230" i="43"/>
  <c r="L230" i="43"/>
  <c r="K230" i="43"/>
  <c r="J230" i="43"/>
  <c r="I230" i="43"/>
  <c r="F230" i="43"/>
  <c r="E230" i="43"/>
  <c r="D230" i="43"/>
  <c r="C230" i="43"/>
  <c r="P229" i="43"/>
  <c r="O229" i="43"/>
  <c r="L229" i="43"/>
  <c r="K229" i="43"/>
  <c r="J229" i="43"/>
  <c r="I229" i="43"/>
  <c r="F229" i="43"/>
  <c r="E229" i="43"/>
  <c r="D229" i="43"/>
  <c r="C229" i="43"/>
  <c r="P228" i="43"/>
  <c r="O228" i="43"/>
  <c r="L228" i="43"/>
  <c r="K228" i="43"/>
  <c r="J228" i="43"/>
  <c r="I228" i="43"/>
  <c r="F228" i="43"/>
  <c r="E228" i="43"/>
  <c r="D228" i="43"/>
  <c r="C228" i="43"/>
  <c r="P227" i="43"/>
  <c r="O227" i="43"/>
  <c r="L227" i="43"/>
  <c r="K227" i="43"/>
  <c r="J227" i="43"/>
  <c r="I227" i="43"/>
  <c r="F227" i="43"/>
  <c r="E227" i="43"/>
  <c r="D227" i="43"/>
  <c r="C227" i="43"/>
  <c r="P226" i="43"/>
  <c r="O226" i="43"/>
  <c r="L226" i="43"/>
  <c r="K226" i="43"/>
  <c r="J226" i="43"/>
  <c r="I226" i="43"/>
  <c r="F226" i="43"/>
  <c r="E226" i="43"/>
  <c r="D226" i="43"/>
  <c r="C226" i="43"/>
  <c r="P225" i="43"/>
  <c r="O225" i="43"/>
  <c r="L225" i="43"/>
  <c r="K225" i="43"/>
  <c r="J225" i="43"/>
  <c r="I225" i="43"/>
  <c r="F225" i="43"/>
  <c r="E225" i="43"/>
  <c r="D225" i="43"/>
  <c r="C225" i="43"/>
  <c r="P224" i="43"/>
  <c r="O224" i="43"/>
  <c r="L224" i="43"/>
  <c r="K224" i="43"/>
  <c r="J224" i="43"/>
  <c r="I224" i="43"/>
  <c r="F224" i="43"/>
  <c r="E224" i="43"/>
  <c r="D224" i="43"/>
  <c r="C224" i="43"/>
  <c r="P223" i="43"/>
  <c r="O223" i="43"/>
  <c r="L223" i="43"/>
  <c r="K223" i="43"/>
  <c r="J223" i="43"/>
  <c r="I223" i="43"/>
  <c r="F223" i="43"/>
  <c r="E223" i="43"/>
  <c r="D223" i="43"/>
  <c r="C223" i="43"/>
  <c r="P222" i="43"/>
  <c r="O222" i="43"/>
  <c r="L222" i="43"/>
  <c r="K222" i="43"/>
  <c r="J222" i="43"/>
  <c r="I222" i="43"/>
  <c r="F222" i="43"/>
  <c r="E222" i="43"/>
  <c r="D222" i="43"/>
  <c r="C222" i="43"/>
  <c r="P221" i="43"/>
  <c r="O221" i="43"/>
  <c r="L221" i="43"/>
  <c r="K221" i="43"/>
  <c r="J221" i="43"/>
  <c r="I221" i="43"/>
  <c r="F221" i="43"/>
  <c r="E221" i="43"/>
  <c r="D221" i="43"/>
  <c r="C221" i="43"/>
  <c r="P220" i="43"/>
  <c r="O220" i="43"/>
  <c r="L220" i="43"/>
  <c r="K220" i="43"/>
  <c r="J220" i="43"/>
  <c r="I220" i="43"/>
  <c r="F220" i="43"/>
  <c r="E220" i="43"/>
  <c r="D220" i="43"/>
  <c r="C220" i="43"/>
  <c r="P219" i="43"/>
  <c r="O219" i="43"/>
  <c r="L219" i="43"/>
  <c r="K219" i="43"/>
  <c r="J219" i="43"/>
  <c r="I219" i="43"/>
  <c r="F219" i="43"/>
  <c r="E219" i="43"/>
  <c r="D219" i="43"/>
  <c r="C219" i="43"/>
  <c r="P218" i="43"/>
  <c r="O218" i="43"/>
  <c r="L218" i="43"/>
  <c r="K218" i="43"/>
  <c r="J218" i="43"/>
  <c r="I218" i="43"/>
  <c r="F218" i="43"/>
  <c r="E218" i="43"/>
  <c r="D218" i="43"/>
  <c r="C218" i="43"/>
  <c r="P217" i="43"/>
  <c r="O217" i="43"/>
  <c r="L217" i="43"/>
  <c r="K217" i="43"/>
  <c r="J217" i="43"/>
  <c r="I217" i="43"/>
  <c r="F217" i="43"/>
  <c r="E217" i="43"/>
  <c r="D217" i="43"/>
  <c r="C217" i="43"/>
  <c r="P216" i="43"/>
  <c r="O216" i="43"/>
  <c r="L216" i="43"/>
  <c r="K216" i="43"/>
  <c r="J216" i="43"/>
  <c r="I216" i="43"/>
  <c r="F216" i="43"/>
  <c r="E216" i="43"/>
  <c r="D216" i="43"/>
  <c r="C216" i="43"/>
  <c r="P215" i="43"/>
  <c r="O215" i="43"/>
  <c r="L215" i="43"/>
  <c r="K215" i="43"/>
  <c r="J215" i="43"/>
  <c r="I215" i="43"/>
  <c r="F215" i="43"/>
  <c r="E215" i="43"/>
  <c r="D215" i="43"/>
  <c r="C215" i="43"/>
  <c r="P214" i="43"/>
  <c r="O214" i="43"/>
  <c r="L214" i="43"/>
  <c r="K214" i="43"/>
  <c r="J214" i="43"/>
  <c r="I214" i="43"/>
  <c r="F214" i="43"/>
  <c r="E214" i="43"/>
  <c r="D214" i="43"/>
  <c r="C214" i="43"/>
  <c r="P213" i="43"/>
  <c r="O213" i="43"/>
  <c r="L213" i="43"/>
  <c r="K213" i="43"/>
  <c r="J213" i="43"/>
  <c r="I213" i="43"/>
  <c r="F213" i="43"/>
  <c r="E213" i="43"/>
  <c r="D213" i="43"/>
  <c r="C213" i="43"/>
  <c r="P212" i="43"/>
  <c r="O212" i="43"/>
  <c r="L212" i="43"/>
  <c r="K212" i="43"/>
  <c r="J212" i="43"/>
  <c r="I212" i="43"/>
  <c r="F212" i="43"/>
  <c r="E212" i="43"/>
  <c r="D212" i="43"/>
  <c r="C212" i="43"/>
  <c r="P211" i="43"/>
  <c r="O211" i="43"/>
  <c r="L211" i="43"/>
  <c r="K211" i="43"/>
  <c r="J211" i="43"/>
  <c r="I211" i="43"/>
  <c r="F211" i="43"/>
  <c r="E211" i="43"/>
  <c r="D211" i="43"/>
  <c r="C211" i="43"/>
  <c r="P210" i="43"/>
  <c r="O210" i="43"/>
  <c r="L210" i="43"/>
  <c r="K210" i="43"/>
  <c r="J210" i="43"/>
  <c r="I210" i="43"/>
  <c r="F210" i="43"/>
  <c r="E210" i="43"/>
  <c r="D210" i="43"/>
  <c r="C210" i="43"/>
  <c r="P209" i="43"/>
  <c r="O209" i="43"/>
  <c r="L209" i="43"/>
  <c r="K209" i="43"/>
  <c r="J209" i="43"/>
  <c r="I209" i="43"/>
  <c r="F209" i="43"/>
  <c r="E209" i="43"/>
  <c r="D209" i="43"/>
  <c r="C209" i="43"/>
  <c r="P208" i="43"/>
  <c r="O208" i="43"/>
  <c r="L208" i="43"/>
  <c r="K208" i="43"/>
  <c r="J208" i="43"/>
  <c r="I208" i="43"/>
  <c r="F208" i="43"/>
  <c r="E208" i="43"/>
  <c r="D208" i="43"/>
  <c r="C208" i="43"/>
  <c r="P207" i="43"/>
  <c r="O207" i="43"/>
  <c r="L207" i="43"/>
  <c r="K207" i="43"/>
  <c r="J207" i="43"/>
  <c r="I207" i="43"/>
  <c r="F207" i="43"/>
  <c r="E207" i="43"/>
  <c r="D207" i="43"/>
  <c r="C207" i="43"/>
  <c r="P206" i="43"/>
  <c r="O206" i="43"/>
  <c r="L206" i="43"/>
  <c r="K206" i="43"/>
  <c r="J206" i="43"/>
  <c r="I206" i="43"/>
  <c r="F206" i="43"/>
  <c r="E206" i="43"/>
  <c r="D206" i="43"/>
  <c r="C206" i="43"/>
  <c r="P205" i="43"/>
  <c r="O205" i="43"/>
  <c r="L205" i="43"/>
  <c r="K205" i="43"/>
  <c r="J205" i="43"/>
  <c r="I205" i="43"/>
  <c r="F205" i="43"/>
  <c r="E205" i="43"/>
  <c r="D205" i="43"/>
  <c r="C205" i="43"/>
  <c r="P204" i="43"/>
  <c r="O204" i="43"/>
  <c r="L204" i="43"/>
  <c r="K204" i="43"/>
  <c r="J204" i="43"/>
  <c r="I204" i="43"/>
  <c r="F204" i="43"/>
  <c r="E204" i="43"/>
  <c r="D204" i="43"/>
  <c r="C204" i="43"/>
  <c r="P203" i="43"/>
  <c r="O203" i="43"/>
  <c r="L203" i="43"/>
  <c r="K203" i="43"/>
  <c r="J203" i="43"/>
  <c r="I203" i="43"/>
  <c r="F203" i="43"/>
  <c r="E203" i="43"/>
  <c r="D203" i="43"/>
  <c r="C203" i="43"/>
  <c r="P202" i="43"/>
  <c r="O202" i="43"/>
  <c r="L202" i="43"/>
  <c r="K202" i="43"/>
  <c r="J202" i="43"/>
  <c r="I202" i="43"/>
  <c r="F202" i="43"/>
  <c r="E202" i="43"/>
  <c r="D202" i="43"/>
  <c r="C202" i="43"/>
  <c r="P201" i="43"/>
  <c r="O201" i="43"/>
  <c r="L201" i="43"/>
  <c r="K201" i="43"/>
  <c r="J201" i="43"/>
  <c r="I201" i="43"/>
  <c r="F201" i="43"/>
  <c r="E201" i="43"/>
  <c r="D201" i="43"/>
  <c r="C201" i="43"/>
  <c r="P200" i="43"/>
  <c r="O200" i="43"/>
  <c r="L200" i="43"/>
  <c r="K200" i="43"/>
  <c r="J200" i="43"/>
  <c r="I200" i="43"/>
  <c r="F200" i="43"/>
  <c r="E200" i="43"/>
  <c r="D200" i="43"/>
  <c r="C200" i="43"/>
  <c r="P199" i="43"/>
  <c r="O199" i="43"/>
  <c r="L199" i="43"/>
  <c r="K199" i="43"/>
  <c r="J199" i="43"/>
  <c r="I199" i="43"/>
  <c r="F199" i="43"/>
  <c r="E199" i="43"/>
  <c r="D199" i="43"/>
  <c r="C199" i="43"/>
  <c r="P198" i="43"/>
  <c r="O198" i="43"/>
  <c r="L198" i="43"/>
  <c r="K198" i="43"/>
  <c r="J198" i="43"/>
  <c r="I198" i="43"/>
  <c r="F198" i="43"/>
  <c r="E198" i="43"/>
  <c r="D198" i="43"/>
  <c r="C198" i="43"/>
  <c r="P197" i="43"/>
  <c r="O197" i="43"/>
  <c r="L197" i="43"/>
  <c r="K197" i="43"/>
  <c r="J197" i="43"/>
  <c r="I197" i="43"/>
  <c r="F197" i="43"/>
  <c r="E197" i="43"/>
  <c r="D197" i="43"/>
  <c r="C197" i="43"/>
  <c r="P196" i="43"/>
  <c r="O196" i="43"/>
  <c r="L196" i="43"/>
  <c r="K196" i="43"/>
  <c r="J196" i="43"/>
  <c r="I196" i="43"/>
  <c r="F196" i="43"/>
  <c r="E196" i="43"/>
  <c r="D196" i="43"/>
  <c r="C196" i="43"/>
  <c r="P195" i="43"/>
  <c r="O195" i="43"/>
  <c r="L195" i="43"/>
  <c r="K195" i="43"/>
  <c r="J195" i="43"/>
  <c r="I195" i="43"/>
  <c r="F195" i="43"/>
  <c r="E195" i="43"/>
  <c r="D195" i="43"/>
  <c r="C195" i="43"/>
  <c r="P194" i="43"/>
  <c r="O194" i="43"/>
  <c r="L194" i="43"/>
  <c r="K194" i="43"/>
  <c r="J194" i="43"/>
  <c r="I194" i="43"/>
  <c r="F194" i="43"/>
  <c r="E194" i="43"/>
  <c r="D194" i="43"/>
  <c r="C194" i="43"/>
  <c r="P193" i="43"/>
  <c r="O193" i="43"/>
  <c r="L193" i="43"/>
  <c r="K193" i="43"/>
  <c r="J193" i="43"/>
  <c r="I193" i="43"/>
  <c r="F193" i="43"/>
  <c r="E193" i="43"/>
  <c r="D193" i="43"/>
  <c r="C193" i="43"/>
  <c r="P192" i="43"/>
  <c r="O192" i="43"/>
  <c r="L192" i="43"/>
  <c r="K192" i="43"/>
  <c r="J192" i="43"/>
  <c r="I192" i="43"/>
  <c r="F192" i="43"/>
  <c r="E192" i="43"/>
  <c r="D192" i="43"/>
  <c r="C192" i="43"/>
  <c r="P191" i="43"/>
  <c r="O191" i="43"/>
  <c r="L191" i="43"/>
  <c r="K191" i="43"/>
  <c r="J191" i="43"/>
  <c r="I191" i="43"/>
  <c r="F191" i="43"/>
  <c r="E191" i="43"/>
  <c r="D191" i="43"/>
  <c r="C191" i="43"/>
  <c r="P190" i="43"/>
  <c r="O190" i="43"/>
  <c r="L190" i="43"/>
  <c r="K190" i="43"/>
  <c r="J190" i="43"/>
  <c r="I190" i="43"/>
  <c r="F190" i="43"/>
  <c r="E190" i="43"/>
  <c r="D190" i="43"/>
  <c r="C190" i="43"/>
  <c r="P189" i="43"/>
  <c r="O189" i="43"/>
  <c r="L189" i="43"/>
  <c r="K189" i="43"/>
  <c r="J189" i="43"/>
  <c r="I189" i="43"/>
  <c r="F189" i="43"/>
  <c r="E189" i="43"/>
  <c r="D189" i="43"/>
  <c r="C189" i="43"/>
  <c r="P188" i="43"/>
  <c r="O188" i="43"/>
  <c r="L188" i="43"/>
  <c r="K188" i="43"/>
  <c r="J188" i="43"/>
  <c r="I188" i="43"/>
  <c r="F188" i="43"/>
  <c r="E188" i="43"/>
  <c r="D188" i="43"/>
  <c r="C188" i="43"/>
  <c r="P187" i="43"/>
  <c r="O187" i="43"/>
  <c r="L187" i="43"/>
  <c r="K187" i="43"/>
  <c r="J187" i="43"/>
  <c r="I187" i="43"/>
  <c r="F187" i="43"/>
  <c r="E187" i="43"/>
  <c r="D187" i="43"/>
  <c r="C187" i="43"/>
  <c r="P186" i="43"/>
  <c r="O186" i="43"/>
  <c r="L186" i="43"/>
  <c r="K186" i="43"/>
  <c r="J186" i="43"/>
  <c r="I186" i="43"/>
  <c r="F186" i="43"/>
  <c r="E186" i="43"/>
  <c r="D186" i="43"/>
  <c r="C186" i="43"/>
  <c r="P185" i="43"/>
  <c r="O185" i="43"/>
  <c r="Q185" i="43" s="1"/>
  <c r="L185" i="43"/>
  <c r="K185" i="43"/>
  <c r="J185" i="43"/>
  <c r="I185" i="43"/>
  <c r="F185" i="43"/>
  <c r="E185" i="43"/>
  <c r="D185" i="43"/>
  <c r="C185" i="43"/>
  <c r="P184" i="43"/>
  <c r="O184" i="43"/>
  <c r="L184" i="43"/>
  <c r="K184" i="43"/>
  <c r="J184" i="43"/>
  <c r="I184" i="43"/>
  <c r="F184" i="43"/>
  <c r="E184" i="43"/>
  <c r="D184" i="43"/>
  <c r="C184" i="43"/>
  <c r="P183" i="43"/>
  <c r="O183" i="43"/>
  <c r="Q183" i="43" s="1"/>
  <c r="L183" i="43"/>
  <c r="K183" i="43"/>
  <c r="J183" i="43"/>
  <c r="I183" i="43"/>
  <c r="F183" i="43"/>
  <c r="E183" i="43"/>
  <c r="D183" i="43"/>
  <c r="C183" i="43"/>
  <c r="P182" i="43"/>
  <c r="O182" i="43"/>
  <c r="L182" i="43"/>
  <c r="K182" i="43"/>
  <c r="J182" i="43"/>
  <c r="I182" i="43"/>
  <c r="F182" i="43"/>
  <c r="E182" i="43"/>
  <c r="D182" i="43"/>
  <c r="C182" i="43"/>
  <c r="P181" i="43"/>
  <c r="O181" i="43"/>
  <c r="L181" i="43"/>
  <c r="K181" i="43"/>
  <c r="J181" i="43"/>
  <c r="I181" i="43"/>
  <c r="F181" i="43"/>
  <c r="E181" i="43"/>
  <c r="D181" i="43"/>
  <c r="C181" i="43"/>
  <c r="P180" i="43"/>
  <c r="O180" i="43"/>
  <c r="L180" i="43"/>
  <c r="K180" i="43"/>
  <c r="J180" i="43"/>
  <c r="I180" i="43"/>
  <c r="F180" i="43"/>
  <c r="E180" i="43"/>
  <c r="D180" i="43"/>
  <c r="C180" i="43"/>
  <c r="P179" i="43"/>
  <c r="O179" i="43"/>
  <c r="L179" i="43"/>
  <c r="K179" i="43"/>
  <c r="J179" i="43"/>
  <c r="I179" i="43"/>
  <c r="F179" i="43"/>
  <c r="E179" i="43"/>
  <c r="D179" i="43"/>
  <c r="C179" i="43"/>
  <c r="P178" i="43"/>
  <c r="O178" i="43"/>
  <c r="Q178" i="43" s="1"/>
  <c r="L178" i="43"/>
  <c r="K178" i="43"/>
  <c r="J178" i="43"/>
  <c r="I178" i="43"/>
  <c r="F178" i="43"/>
  <c r="E178" i="43"/>
  <c r="D178" i="43"/>
  <c r="C178" i="43"/>
  <c r="P177" i="43"/>
  <c r="O177" i="43"/>
  <c r="L177" i="43"/>
  <c r="K177" i="43"/>
  <c r="J177" i="43"/>
  <c r="I177" i="43"/>
  <c r="F177" i="43"/>
  <c r="E177" i="43"/>
  <c r="D177" i="43"/>
  <c r="C177" i="43"/>
  <c r="P176" i="43"/>
  <c r="O176" i="43"/>
  <c r="L176" i="43"/>
  <c r="K176" i="43"/>
  <c r="J176" i="43"/>
  <c r="I176" i="43"/>
  <c r="F176" i="43"/>
  <c r="E176" i="43"/>
  <c r="D176" i="43"/>
  <c r="C176" i="43"/>
  <c r="P175" i="43"/>
  <c r="O175" i="43"/>
  <c r="L175" i="43"/>
  <c r="K175" i="43"/>
  <c r="J175" i="43"/>
  <c r="I175" i="43"/>
  <c r="F175" i="43"/>
  <c r="E175" i="43"/>
  <c r="D175" i="43"/>
  <c r="C175" i="43"/>
  <c r="P174" i="43"/>
  <c r="O174" i="43"/>
  <c r="L174" i="43"/>
  <c r="K174" i="43"/>
  <c r="J174" i="43"/>
  <c r="I174" i="43"/>
  <c r="F174" i="43"/>
  <c r="E174" i="43"/>
  <c r="D174" i="43"/>
  <c r="C174" i="43"/>
  <c r="P173" i="43"/>
  <c r="O173" i="43"/>
  <c r="L173" i="43"/>
  <c r="K173" i="43"/>
  <c r="J173" i="43"/>
  <c r="I173" i="43"/>
  <c r="F173" i="43"/>
  <c r="E173" i="43"/>
  <c r="D173" i="43"/>
  <c r="C173" i="43"/>
  <c r="P172" i="43"/>
  <c r="O172" i="43"/>
  <c r="L172" i="43"/>
  <c r="K172" i="43"/>
  <c r="J172" i="43"/>
  <c r="I172" i="43"/>
  <c r="F172" i="43"/>
  <c r="E172" i="43"/>
  <c r="D172" i="43"/>
  <c r="C172" i="43"/>
  <c r="P171" i="43"/>
  <c r="O171" i="43"/>
  <c r="L171" i="43"/>
  <c r="K171" i="43"/>
  <c r="J171" i="43"/>
  <c r="I171" i="43"/>
  <c r="F171" i="43"/>
  <c r="E171" i="43"/>
  <c r="D171" i="43"/>
  <c r="C171" i="43"/>
  <c r="P170" i="43"/>
  <c r="O170" i="43"/>
  <c r="L170" i="43"/>
  <c r="K170" i="43"/>
  <c r="J170" i="43"/>
  <c r="I170" i="43"/>
  <c r="F170" i="43"/>
  <c r="E170" i="43"/>
  <c r="D170" i="43"/>
  <c r="C170" i="43"/>
  <c r="P169" i="43"/>
  <c r="O169" i="43"/>
  <c r="L169" i="43"/>
  <c r="K169" i="43"/>
  <c r="J169" i="43"/>
  <c r="I169" i="43"/>
  <c r="F169" i="43"/>
  <c r="E169" i="43"/>
  <c r="D169" i="43"/>
  <c r="C169" i="43"/>
  <c r="P168" i="43"/>
  <c r="O168" i="43"/>
  <c r="L168" i="43"/>
  <c r="K168" i="43"/>
  <c r="J168" i="43"/>
  <c r="I168" i="43"/>
  <c r="F168" i="43"/>
  <c r="E168" i="43"/>
  <c r="D168" i="43"/>
  <c r="C168" i="43"/>
  <c r="P167" i="43"/>
  <c r="O167" i="43"/>
  <c r="L167" i="43"/>
  <c r="K167" i="43"/>
  <c r="J167" i="43"/>
  <c r="I167" i="43"/>
  <c r="F167" i="43"/>
  <c r="E167" i="43"/>
  <c r="D167" i="43"/>
  <c r="C167" i="43"/>
  <c r="P166" i="43"/>
  <c r="O166" i="43"/>
  <c r="L166" i="43"/>
  <c r="K166" i="43"/>
  <c r="J166" i="43"/>
  <c r="I166" i="43"/>
  <c r="F166" i="43"/>
  <c r="E166" i="43"/>
  <c r="D166" i="43"/>
  <c r="C166" i="43"/>
  <c r="P165" i="43"/>
  <c r="O165" i="43"/>
  <c r="L165" i="43"/>
  <c r="K165" i="43"/>
  <c r="J165" i="43"/>
  <c r="I165" i="43"/>
  <c r="F165" i="43"/>
  <c r="E165" i="43"/>
  <c r="D165" i="43"/>
  <c r="C165" i="43"/>
  <c r="P164" i="43"/>
  <c r="O164" i="43"/>
  <c r="L164" i="43"/>
  <c r="K164" i="43"/>
  <c r="J164" i="43"/>
  <c r="I164" i="43"/>
  <c r="F164" i="43"/>
  <c r="E164" i="43"/>
  <c r="D164" i="43"/>
  <c r="C164" i="43"/>
  <c r="P163" i="43"/>
  <c r="O163" i="43"/>
  <c r="L163" i="43"/>
  <c r="K163" i="43"/>
  <c r="J163" i="43"/>
  <c r="I163" i="43"/>
  <c r="F163" i="43"/>
  <c r="E163" i="43"/>
  <c r="D163" i="43"/>
  <c r="C163" i="43"/>
  <c r="P162" i="43"/>
  <c r="O162" i="43"/>
  <c r="L162" i="43"/>
  <c r="K162" i="43"/>
  <c r="J162" i="43"/>
  <c r="I162" i="43"/>
  <c r="F162" i="43"/>
  <c r="E162" i="43"/>
  <c r="D162" i="43"/>
  <c r="C162" i="43"/>
  <c r="P161" i="43"/>
  <c r="O161" i="43"/>
  <c r="L161" i="43"/>
  <c r="K161" i="43"/>
  <c r="J161" i="43"/>
  <c r="I161" i="43"/>
  <c r="F161" i="43"/>
  <c r="E161" i="43"/>
  <c r="D161" i="43"/>
  <c r="C161" i="43"/>
  <c r="P160" i="43"/>
  <c r="O160" i="43"/>
  <c r="L160" i="43"/>
  <c r="K160" i="43"/>
  <c r="J160" i="43"/>
  <c r="I160" i="43"/>
  <c r="F160" i="43"/>
  <c r="E160" i="43"/>
  <c r="D160" i="43"/>
  <c r="C160" i="43"/>
  <c r="P159" i="43"/>
  <c r="O159" i="43"/>
  <c r="L159" i="43"/>
  <c r="K159" i="43"/>
  <c r="J159" i="43"/>
  <c r="I159" i="43"/>
  <c r="F159" i="43"/>
  <c r="E159" i="43"/>
  <c r="D159" i="43"/>
  <c r="C159" i="43"/>
  <c r="P158" i="43"/>
  <c r="O158" i="43"/>
  <c r="L158" i="43"/>
  <c r="K158" i="43"/>
  <c r="J158" i="43"/>
  <c r="I158" i="43"/>
  <c r="F158" i="43"/>
  <c r="E158" i="43"/>
  <c r="D158" i="43"/>
  <c r="C158" i="43"/>
  <c r="P157" i="43"/>
  <c r="O157" i="43"/>
  <c r="L157" i="43"/>
  <c r="K157" i="43"/>
  <c r="J157" i="43"/>
  <c r="I157" i="43"/>
  <c r="F157" i="43"/>
  <c r="E157" i="43"/>
  <c r="D157" i="43"/>
  <c r="C157" i="43"/>
  <c r="P156" i="43"/>
  <c r="O156" i="43"/>
  <c r="L156" i="43"/>
  <c r="K156" i="43"/>
  <c r="J156" i="43"/>
  <c r="I156" i="43"/>
  <c r="F156" i="43"/>
  <c r="E156" i="43"/>
  <c r="D156" i="43"/>
  <c r="C156" i="43"/>
  <c r="P155" i="43"/>
  <c r="O155" i="43"/>
  <c r="L155" i="43"/>
  <c r="K155" i="43"/>
  <c r="J155" i="43"/>
  <c r="I155" i="43"/>
  <c r="F155" i="43"/>
  <c r="E155" i="43"/>
  <c r="D155" i="43"/>
  <c r="C155" i="43"/>
  <c r="P154" i="43"/>
  <c r="O154" i="43"/>
  <c r="L154" i="43"/>
  <c r="K154" i="43"/>
  <c r="J154" i="43"/>
  <c r="I154" i="43"/>
  <c r="F154" i="43"/>
  <c r="E154" i="43"/>
  <c r="D154" i="43"/>
  <c r="C154" i="43"/>
  <c r="P153" i="43"/>
  <c r="O153" i="43"/>
  <c r="L153" i="43"/>
  <c r="K153" i="43"/>
  <c r="J153" i="43"/>
  <c r="I153" i="43"/>
  <c r="F153" i="43"/>
  <c r="E153" i="43"/>
  <c r="D153" i="43"/>
  <c r="C153" i="43"/>
  <c r="P152" i="43"/>
  <c r="O152" i="43"/>
  <c r="L152" i="43"/>
  <c r="K152" i="43"/>
  <c r="J152" i="43"/>
  <c r="I152" i="43"/>
  <c r="F152" i="43"/>
  <c r="E152" i="43"/>
  <c r="D152" i="43"/>
  <c r="C152" i="43"/>
  <c r="P151" i="43"/>
  <c r="O151" i="43"/>
  <c r="L151" i="43"/>
  <c r="K151" i="43"/>
  <c r="J151" i="43"/>
  <c r="I151" i="43"/>
  <c r="F151" i="43"/>
  <c r="E151" i="43"/>
  <c r="D151" i="43"/>
  <c r="C151" i="43"/>
  <c r="P150" i="43"/>
  <c r="O150" i="43"/>
  <c r="L150" i="43"/>
  <c r="K150" i="43"/>
  <c r="J150" i="43"/>
  <c r="I150" i="43"/>
  <c r="F150" i="43"/>
  <c r="E150" i="43"/>
  <c r="D150" i="43"/>
  <c r="C150" i="43"/>
  <c r="P149" i="43"/>
  <c r="O149" i="43"/>
  <c r="L149" i="43"/>
  <c r="K149" i="43"/>
  <c r="J149" i="43"/>
  <c r="I149" i="43"/>
  <c r="F149" i="43"/>
  <c r="E149" i="43"/>
  <c r="D149" i="43"/>
  <c r="C149" i="43"/>
  <c r="P148" i="43"/>
  <c r="O148" i="43"/>
  <c r="L148" i="43"/>
  <c r="K148" i="43"/>
  <c r="J148" i="43"/>
  <c r="I148" i="43"/>
  <c r="F148" i="43"/>
  <c r="E148" i="43"/>
  <c r="D148" i="43"/>
  <c r="C148" i="43"/>
  <c r="P147" i="43"/>
  <c r="O147" i="43"/>
  <c r="L147" i="43"/>
  <c r="K147" i="43"/>
  <c r="J147" i="43"/>
  <c r="I147" i="43"/>
  <c r="F147" i="43"/>
  <c r="E147" i="43"/>
  <c r="D147" i="43"/>
  <c r="C147" i="43"/>
  <c r="P146" i="43"/>
  <c r="O146" i="43"/>
  <c r="L146" i="43"/>
  <c r="K146" i="43"/>
  <c r="J146" i="43"/>
  <c r="I146" i="43"/>
  <c r="F146" i="43"/>
  <c r="E146" i="43"/>
  <c r="D146" i="43"/>
  <c r="C146" i="43"/>
  <c r="P145" i="43"/>
  <c r="O145" i="43"/>
  <c r="L145" i="43"/>
  <c r="K145" i="43"/>
  <c r="J145" i="43"/>
  <c r="I145" i="43"/>
  <c r="F145" i="43"/>
  <c r="E145" i="43"/>
  <c r="D145" i="43"/>
  <c r="C145" i="43"/>
  <c r="P144" i="43"/>
  <c r="O144" i="43"/>
  <c r="L144" i="43"/>
  <c r="K144" i="43"/>
  <c r="J144" i="43"/>
  <c r="I144" i="43"/>
  <c r="F144" i="43"/>
  <c r="E144" i="43"/>
  <c r="D144" i="43"/>
  <c r="C144" i="43"/>
  <c r="P143" i="43"/>
  <c r="O143" i="43"/>
  <c r="L143" i="43"/>
  <c r="K143" i="43"/>
  <c r="J143" i="43"/>
  <c r="I143" i="43"/>
  <c r="F143" i="43"/>
  <c r="E143" i="43"/>
  <c r="D143" i="43"/>
  <c r="C143" i="43"/>
  <c r="P142" i="43"/>
  <c r="O142" i="43"/>
  <c r="L142" i="43"/>
  <c r="K142" i="43"/>
  <c r="J142" i="43"/>
  <c r="I142" i="43"/>
  <c r="F142" i="43"/>
  <c r="E142" i="43"/>
  <c r="D142" i="43"/>
  <c r="C142" i="43"/>
  <c r="P141" i="43"/>
  <c r="O141" i="43"/>
  <c r="L141" i="43"/>
  <c r="K141" i="43"/>
  <c r="J141" i="43"/>
  <c r="I141" i="43"/>
  <c r="F141" i="43"/>
  <c r="E141" i="43"/>
  <c r="D141" i="43"/>
  <c r="C141" i="43"/>
  <c r="P140" i="43"/>
  <c r="O140" i="43"/>
  <c r="L140" i="43"/>
  <c r="K140" i="43"/>
  <c r="J140" i="43"/>
  <c r="I140" i="43"/>
  <c r="F140" i="43"/>
  <c r="E140" i="43"/>
  <c r="D140" i="43"/>
  <c r="C140" i="43"/>
  <c r="P139" i="43"/>
  <c r="O139" i="43"/>
  <c r="L139" i="43"/>
  <c r="K139" i="43"/>
  <c r="J139" i="43"/>
  <c r="I139" i="43"/>
  <c r="F139" i="43"/>
  <c r="E139" i="43"/>
  <c r="D139" i="43"/>
  <c r="C139" i="43"/>
  <c r="P138" i="43"/>
  <c r="O138" i="43"/>
  <c r="L138" i="43"/>
  <c r="K138" i="43"/>
  <c r="J138" i="43"/>
  <c r="I138" i="43"/>
  <c r="F138" i="43"/>
  <c r="E138" i="43"/>
  <c r="D138" i="43"/>
  <c r="C138" i="43"/>
  <c r="P137" i="43"/>
  <c r="O137" i="43"/>
  <c r="L137" i="43"/>
  <c r="K137" i="43"/>
  <c r="J137" i="43"/>
  <c r="I137" i="43"/>
  <c r="F137" i="43"/>
  <c r="E137" i="43"/>
  <c r="D137" i="43"/>
  <c r="C137" i="43"/>
  <c r="P136" i="43"/>
  <c r="O136" i="43"/>
  <c r="L136" i="43"/>
  <c r="K136" i="43"/>
  <c r="J136" i="43"/>
  <c r="I136" i="43"/>
  <c r="F136" i="43"/>
  <c r="E136" i="43"/>
  <c r="D136" i="43"/>
  <c r="C136" i="43"/>
  <c r="P135" i="43"/>
  <c r="O135" i="43"/>
  <c r="L135" i="43"/>
  <c r="K135" i="43"/>
  <c r="J135" i="43"/>
  <c r="I135" i="43"/>
  <c r="F135" i="43"/>
  <c r="E135" i="43"/>
  <c r="D135" i="43"/>
  <c r="C135" i="43"/>
  <c r="P134" i="43"/>
  <c r="O134" i="43"/>
  <c r="L134" i="43"/>
  <c r="K134" i="43"/>
  <c r="J134" i="43"/>
  <c r="I134" i="43"/>
  <c r="F134" i="43"/>
  <c r="E134" i="43"/>
  <c r="D134" i="43"/>
  <c r="C134" i="43"/>
  <c r="P133" i="43"/>
  <c r="O133" i="43"/>
  <c r="L133" i="43"/>
  <c r="K133" i="43"/>
  <c r="J133" i="43"/>
  <c r="I133" i="43"/>
  <c r="F133" i="43"/>
  <c r="E133" i="43"/>
  <c r="D133" i="43"/>
  <c r="C133" i="43"/>
  <c r="P132" i="43"/>
  <c r="O132" i="43"/>
  <c r="L132" i="43"/>
  <c r="K132" i="43"/>
  <c r="J132" i="43"/>
  <c r="I132" i="43"/>
  <c r="F132" i="43"/>
  <c r="E132" i="43"/>
  <c r="D132" i="43"/>
  <c r="C132" i="43"/>
  <c r="P131" i="43"/>
  <c r="O131" i="43"/>
  <c r="L131" i="43"/>
  <c r="K131" i="43"/>
  <c r="J131" i="43"/>
  <c r="I131" i="43"/>
  <c r="F131" i="43"/>
  <c r="E131" i="43"/>
  <c r="D131" i="43"/>
  <c r="C131" i="43"/>
  <c r="P130" i="43"/>
  <c r="O130" i="43"/>
  <c r="L130" i="43"/>
  <c r="K130" i="43"/>
  <c r="J130" i="43"/>
  <c r="I130" i="43"/>
  <c r="F130" i="43"/>
  <c r="E130" i="43"/>
  <c r="D130" i="43"/>
  <c r="C130" i="43"/>
  <c r="P129" i="43"/>
  <c r="O129" i="43"/>
  <c r="L129" i="43"/>
  <c r="K129" i="43"/>
  <c r="J129" i="43"/>
  <c r="I129" i="43"/>
  <c r="F129" i="43"/>
  <c r="E129" i="43"/>
  <c r="D129" i="43"/>
  <c r="C129" i="43"/>
  <c r="P128" i="43"/>
  <c r="O128" i="43"/>
  <c r="L128" i="43"/>
  <c r="K128" i="43"/>
  <c r="J128" i="43"/>
  <c r="I128" i="43"/>
  <c r="F128" i="43"/>
  <c r="E128" i="43"/>
  <c r="D128" i="43"/>
  <c r="C128" i="43"/>
  <c r="P127" i="43"/>
  <c r="O127" i="43"/>
  <c r="L127" i="43"/>
  <c r="K127" i="43"/>
  <c r="J127" i="43"/>
  <c r="I127" i="43"/>
  <c r="F127" i="43"/>
  <c r="E127" i="43"/>
  <c r="D127" i="43"/>
  <c r="C127" i="43"/>
  <c r="P126" i="43"/>
  <c r="O126" i="43"/>
  <c r="L126" i="43"/>
  <c r="K126" i="43"/>
  <c r="J126" i="43"/>
  <c r="I126" i="43"/>
  <c r="F126" i="43"/>
  <c r="E126" i="43"/>
  <c r="D126" i="43"/>
  <c r="C126" i="43"/>
  <c r="P125" i="43"/>
  <c r="O125" i="43"/>
  <c r="L125" i="43"/>
  <c r="K125" i="43"/>
  <c r="J125" i="43"/>
  <c r="I125" i="43"/>
  <c r="F125" i="43"/>
  <c r="E125" i="43"/>
  <c r="D125" i="43"/>
  <c r="C125" i="43"/>
  <c r="P124" i="43"/>
  <c r="O124" i="43"/>
  <c r="L124" i="43"/>
  <c r="K124" i="43"/>
  <c r="J124" i="43"/>
  <c r="I124" i="43"/>
  <c r="F124" i="43"/>
  <c r="E124" i="43"/>
  <c r="D124" i="43"/>
  <c r="C124" i="43"/>
  <c r="P123" i="43"/>
  <c r="O123" i="43"/>
  <c r="L123" i="43"/>
  <c r="K123" i="43"/>
  <c r="J123" i="43"/>
  <c r="I123" i="43"/>
  <c r="F123" i="43"/>
  <c r="E123" i="43"/>
  <c r="D123" i="43"/>
  <c r="C123" i="43"/>
  <c r="P122" i="43"/>
  <c r="O122" i="43"/>
  <c r="L122" i="43"/>
  <c r="K122" i="43"/>
  <c r="J122" i="43"/>
  <c r="I122" i="43"/>
  <c r="F122" i="43"/>
  <c r="E122" i="43"/>
  <c r="D122" i="43"/>
  <c r="C122" i="43"/>
  <c r="P121" i="43"/>
  <c r="O121" i="43"/>
  <c r="L121" i="43"/>
  <c r="K121" i="43"/>
  <c r="J121" i="43"/>
  <c r="I121" i="43"/>
  <c r="F121" i="43"/>
  <c r="E121" i="43"/>
  <c r="D121" i="43"/>
  <c r="C121" i="43"/>
  <c r="P120" i="43"/>
  <c r="O120" i="43"/>
  <c r="L120" i="43"/>
  <c r="K120" i="43"/>
  <c r="J120" i="43"/>
  <c r="I120" i="43"/>
  <c r="F120" i="43"/>
  <c r="E120" i="43"/>
  <c r="D120" i="43"/>
  <c r="C120" i="43"/>
  <c r="P119" i="43"/>
  <c r="O119" i="43"/>
  <c r="L119" i="43"/>
  <c r="K119" i="43"/>
  <c r="J119" i="43"/>
  <c r="I119" i="43"/>
  <c r="F119" i="43"/>
  <c r="E119" i="43"/>
  <c r="D119" i="43"/>
  <c r="C119" i="43"/>
  <c r="P118" i="43"/>
  <c r="O118" i="43"/>
  <c r="L118" i="43"/>
  <c r="K118" i="43"/>
  <c r="J118" i="43"/>
  <c r="I118" i="43"/>
  <c r="F118" i="43"/>
  <c r="E118" i="43"/>
  <c r="D118" i="43"/>
  <c r="C118" i="43"/>
  <c r="P117" i="43"/>
  <c r="O117" i="43"/>
  <c r="L117" i="43"/>
  <c r="K117" i="43"/>
  <c r="J117" i="43"/>
  <c r="I117" i="43"/>
  <c r="F117" i="43"/>
  <c r="E117" i="43"/>
  <c r="D117" i="43"/>
  <c r="C117" i="43"/>
  <c r="P116" i="43"/>
  <c r="O116" i="43"/>
  <c r="L116" i="43"/>
  <c r="K116" i="43"/>
  <c r="J116" i="43"/>
  <c r="I116" i="43"/>
  <c r="F116" i="43"/>
  <c r="E116" i="43"/>
  <c r="D116" i="43"/>
  <c r="C116" i="43"/>
  <c r="P115" i="43"/>
  <c r="O115" i="43"/>
  <c r="L115" i="43"/>
  <c r="K115" i="43"/>
  <c r="J115" i="43"/>
  <c r="I115" i="43"/>
  <c r="F115" i="43"/>
  <c r="E115" i="43"/>
  <c r="D115" i="43"/>
  <c r="C115" i="43"/>
  <c r="P114" i="43"/>
  <c r="O114" i="43"/>
  <c r="L114" i="43"/>
  <c r="K114" i="43"/>
  <c r="J114" i="43"/>
  <c r="I114" i="43"/>
  <c r="F114" i="43"/>
  <c r="E114" i="43"/>
  <c r="D114" i="43"/>
  <c r="C114" i="43"/>
  <c r="P113" i="43"/>
  <c r="O113" i="43"/>
  <c r="L113" i="43"/>
  <c r="K113" i="43"/>
  <c r="J113" i="43"/>
  <c r="I113" i="43"/>
  <c r="F113" i="43"/>
  <c r="E113" i="43"/>
  <c r="D113" i="43"/>
  <c r="C113" i="43"/>
  <c r="P112" i="43"/>
  <c r="O112" i="43"/>
  <c r="L112" i="43"/>
  <c r="K112" i="43"/>
  <c r="J112" i="43"/>
  <c r="I112" i="43"/>
  <c r="F112" i="43"/>
  <c r="E112" i="43"/>
  <c r="D112" i="43"/>
  <c r="C112" i="43"/>
  <c r="P111" i="43"/>
  <c r="O111" i="43"/>
  <c r="L111" i="43"/>
  <c r="K111" i="43"/>
  <c r="J111" i="43"/>
  <c r="I111" i="43"/>
  <c r="F111" i="43"/>
  <c r="E111" i="43"/>
  <c r="D111" i="43"/>
  <c r="C111" i="43"/>
  <c r="P110" i="43"/>
  <c r="O110" i="43"/>
  <c r="L110" i="43"/>
  <c r="K110" i="43"/>
  <c r="J110" i="43"/>
  <c r="I110" i="43"/>
  <c r="F110" i="43"/>
  <c r="E110" i="43"/>
  <c r="D110" i="43"/>
  <c r="C110" i="43"/>
  <c r="P109" i="43"/>
  <c r="O109" i="43"/>
  <c r="L109" i="43"/>
  <c r="K109" i="43"/>
  <c r="J109" i="43"/>
  <c r="I109" i="43"/>
  <c r="F109" i="43"/>
  <c r="E109" i="43"/>
  <c r="D109" i="43"/>
  <c r="C109" i="43"/>
  <c r="P108" i="43"/>
  <c r="O108" i="43"/>
  <c r="L108" i="43"/>
  <c r="K108" i="43"/>
  <c r="J108" i="43"/>
  <c r="I108" i="43"/>
  <c r="F108" i="43"/>
  <c r="E108" i="43"/>
  <c r="D108" i="43"/>
  <c r="C108" i="43"/>
  <c r="P107" i="43"/>
  <c r="O107" i="43"/>
  <c r="L107" i="43"/>
  <c r="K107" i="43"/>
  <c r="J107" i="43"/>
  <c r="I107" i="43"/>
  <c r="F107" i="43"/>
  <c r="E107" i="43"/>
  <c r="D107" i="43"/>
  <c r="C107" i="43"/>
  <c r="P106" i="43"/>
  <c r="O106" i="43"/>
  <c r="L106" i="43"/>
  <c r="K106" i="43"/>
  <c r="J106" i="43"/>
  <c r="I106" i="43"/>
  <c r="F106" i="43"/>
  <c r="E106" i="43"/>
  <c r="D106" i="43"/>
  <c r="C106" i="43"/>
  <c r="P105" i="43"/>
  <c r="O105" i="43"/>
  <c r="L105" i="43"/>
  <c r="K105" i="43"/>
  <c r="J105" i="43"/>
  <c r="I105" i="43"/>
  <c r="F105" i="43"/>
  <c r="E105" i="43"/>
  <c r="D105" i="43"/>
  <c r="C105" i="43"/>
  <c r="P104" i="43"/>
  <c r="O104" i="43"/>
  <c r="L104" i="43"/>
  <c r="K104" i="43"/>
  <c r="J104" i="43"/>
  <c r="I104" i="43"/>
  <c r="F104" i="43"/>
  <c r="E104" i="43"/>
  <c r="D104" i="43"/>
  <c r="C104" i="43"/>
  <c r="P103" i="43"/>
  <c r="O103" i="43"/>
  <c r="L103" i="43"/>
  <c r="K103" i="43"/>
  <c r="J103" i="43"/>
  <c r="I103" i="43"/>
  <c r="F103" i="43"/>
  <c r="E103" i="43"/>
  <c r="D103" i="43"/>
  <c r="C103" i="43"/>
  <c r="P102" i="43"/>
  <c r="O102" i="43"/>
  <c r="L102" i="43"/>
  <c r="K102" i="43"/>
  <c r="J102" i="43"/>
  <c r="I102" i="43"/>
  <c r="F102" i="43"/>
  <c r="E102" i="43"/>
  <c r="D102" i="43"/>
  <c r="C102" i="43"/>
  <c r="P101" i="43"/>
  <c r="O101" i="43"/>
  <c r="L101" i="43"/>
  <c r="K101" i="43"/>
  <c r="J101" i="43"/>
  <c r="I101" i="43"/>
  <c r="F101" i="43"/>
  <c r="E101" i="43"/>
  <c r="D101" i="43"/>
  <c r="C101" i="43"/>
  <c r="P100" i="43"/>
  <c r="O100" i="43"/>
  <c r="L100" i="43"/>
  <c r="K100" i="43"/>
  <c r="J100" i="43"/>
  <c r="I100" i="43"/>
  <c r="F100" i="43"/>
  <c r="E100" i="43"/>
  <c r="D100" i="43"/>
  <c r="C100" i="43"/>
  <c r="P99" i="43"/>
  <c r="O99" i="43"/>
  <c r="L99" i="43"/>
  <c r="K99" i="43"/>
  <c r="J99" i="43"/>
  <c r="I99" i="43"/>
  <c r="F99" i="43"/>
  <c r="E99" i="43"/>
  <c r="D99" i="43"/>
  <c r="C99" i="43"/>
  <c r="P98" i="43"/>
  <c r="O98" i="43"/>
  <c r="L98" i="43"/>
  <c r="K98" i="43"/>
  <c r="J98" i="43"/>
  <c r="I98" i="43"/>
  <c r="F98" i="43"/>
  <c r="E98" i="43"/>
  <c r="D98" i="43"/>
  <c r="C98" i="43"/>
  <c r="P97" i="43"/>
  <c r="O97" i="43"/>
  <c r="L97" i="43"/>
  <c r="K97" i="43"/>
  <c r="J97" i="43"/>
  <c r="I97" i="43"/>
  <c r="F97" i="43"/>
  <c r="E97" i="43"/>
  <c r="D97" i="43"/>
  <c r="C97" i="43"/>
  <c r="P96" i="43"/>
  <c r="O96" i="43"/>
  <c r="L96" i="43"/>
  <c r="K96" i="43"/>
  <c r="J96" i="43"/>
  <c r="I96" i="43"/>
  <c r="F96" i="43"/>
  <c r="E96" i="43"/>
  <c r="D96" i="43"/>
  <c r="C96" i="43"/>
  <c r="P95" i="43"/>
  <c r="O95" i="43"/>
  <c r="L95" i="43"/>
  <c r="K95" i="43"/>
  <c r="J95" i="43"/>
  <c r="I95" i="43"/>
  <c r="F95" i="43"/>
  <c r="E95" i="43"/>
  <c r="D95" i="43"/>
  <c r="C95" i="43"/>
  <c r="P94" i="43"/>
  <c r="O94" i="43"/>
  <c r="L94" i="43"/>
  <c r="K94" i="43"/>
  <c r="J94" i="43"/>
  <c r="I94" i="43"/>
  <c r="F94" i="43"/>
  <c r="E94" i="43"/>
  <c r="D94" i="43"/>
  <c r="C94" i="43"/>
  <c r="P93" i="43"/>
  <c r="O93" i="43"/>
  <c r="L93" i="43"/>
  <c r="K93" i="43"/>
  <c r="J93" i="43"/>
  <c r="I93" i="43"/>
  <c r="F93" i="43"/>
  <c r="E93" i="43"/>
  <c r="D93" i="43"/>
  <c r="C93" i="43"/>
  <c r="P92" i="43"/>
  <c r="O92" i="43"/>
  <c r="L92" i="43"/>
  <c r="K92" i="43"/>
  <c r="J92" i="43"/>
  <c r="I92" i="43"/>
  <c r="F92" i="43"/>
  <c r="E92" i="43"/>
  <c r="D92" i="43"/>
  <c r="C92" i="43"/>
  <c r="P91" i="43"/>
  <c r="O91" i="43"/>
  <c r="L91" i="43"/>
  <c r="K91" i="43"/>
  <c r="J91" i="43"/>
  <c r="I91" i="43"/>
  <c r="F91" i="43"/>
  <c r="E91" i="43"/>
  <c r="D91" i="43"/>
  <c r="C91" i="43"/>
  <c r="P90" i="43"/>
  <c r="O90" i="43"/>
  <c r="L90" i="43"/>
  <c r="K90" i="43"/>
  <c r="J90" i="43"/>
  <c r="I90" i="43"/>
  <c r="F90" i="43"/>
  <c r="E90" i="43"/>
  <c r="D90" i="43"/>
  <c r="C90" i="43"/>
  <c r="P89" i="43"/>
  <c r="O89" i="43"/>
  <c r="Q89" i="43" s="1"/>
  <c r="L89" i="43"/>
  <c r="K89" i="43"/>
  <c r="J89" i="43"/>
  <c r="I89" i="43"/>
  <c r="F89" i="43"/>
  <c r="E89" i="43"/>
  <c r="D89" i="43"/>
  <c r="C89" i="43"/>
  <c r="P88" i="43"/>
  <c r="O88" i="43"/>
  <c r="L88" i="43"/>
  <c r="K88" i="43"/>
  <c r="J88" i="43"/>
  <c r="I88" i="43"/>
  <c r="F88" i="43"/>
  <c r="E88" i="43"/>
  <c r="D88" i="43"/>
  <c r="C88" i="43"/>
  <c r="P87" i="43"/>
  <c r="O87" i="43"/>
  <c r="L87" i="43"/>
  <c r="K87" i="43"/>
  <c r="J87" i="43"/>
  <c r="I87" i="43"/>
  <c r="F87" i="43"/>
  <c r="E87" i="43"/>
  <c r="D87" i="43"/>
  <c r="C87" i="43"/>
  <c r="P86" i="43"/>
  <c r="O86" i="43"/>
  <c r="L86" i="43"/>
  <c r="K86" i="43"/>
  <c r="J86" i="43"/>
  <c r="I86" i="43"/>
  <c r="F86" i="43"/>
  <c r="E86" i="43"/>
  <c r="D86" i="43"/>
  <c r="C86" i="43"/>
  <c r="P85" i="43"/>
  <c r="O85" i="43"/>
  <c r="L85" i="43"/>
  <c r="K85" i="43"/>
  <c r="J85" i="43"/>
  <c r="I85" i="43"/>
  <c r="F85" i="43"/>
  <c r="E85" i="43"/>
  <c r="G85" i="43" s="1"/>
  <c r="D85" i="43"/>
  <c r="C85" i="43"/>
  <c r="P84" i="43"/>
  <c r="O84" i="43"/>
  <c r="L84" i="43"/>
  <c r="K84" i="43"/>
  <c r="J84" i="43"/>
  <c r="I84" i="43"/>
  <c r="F84" i="43"/>
  <c r="E84" i="43"/>
  <c r="D84" i="43"/>
  <c r="C84" i="43"/>
  <c r="P83" i="43"/>
  <c r="O83" i="43"/>
  <c r="L83" i="43"/>
  <c r="K83" i="43"/>
  <c r="J83" i="43"/>
  <c r="I83" i="43"/>
  <c r="F83" i="43"/>
  <c r="E83" i="43"/>
  <c r="D83" i="43"/>
  <c r="C83" i="43"/>
  <c r="P82" i="43"/>
  <c r="O82" i="43"/>
  <c r="L82" i="43"/>
  <c r="K82" i="43"/>
  <c r="J82" i="43"/>
  <c r="I82" i="43"/>
  <c r="F82" i="43"/>
  <c r="E82" i="43"/>
  <c r="D82" i="43"/>
  <c r="C82" i="43"/>
  <c r="P81" i="43"/>
  <c r="O81" i="43"/>
  <c r="L81" i="43"/>
  <c r="K81" i="43"/>
  <c r="J81" i="43"/>
  <c r="I81" i="43"/>
  <c r="F81" i="43"/>
  <c r="E81" i="43"/>
  <c r="D81" i="43"/>
  <c r="C81" i="43"/>
  <c r="P80" i="43"/>
  <c r="O80" i="43"/>
  <c r="L80" i="43"/>
  <c r="K80" i="43"/>
  <c r="J80" i="43"/>
  <c r="I80" i="43"/>
  <c r="F80" i="43"/>
  <c r="E80" i="43"/>
  <c r="D80" i="43"/>
  <c r="C80" i="43"/>
  <c r="P79" i="43"/>
  <c r="O79" i="43"/>
  <c r="L79" i="43"/>
  <c r="K79" i="43"/>
  <c r="J79" i="43"/>
  <c r="I79" i="43"/>
  <c r="F79" i="43"/>
  <c r="E79" i="43"/>
  <c r="D79" i="43"/>
  <c r="C79" i="43"/>
  <c r="P78" i="43"/>
  <c r="O78" i="43"/>
  <c r="L78" i="43"/>
  <c r="K78" i="43"/>
  <c r="J78" i="43"/>
  <c r="I78" i="43"/>
  <c r="F78" i="43"/>
  <c r="E78" i="43"/>
  <c r="D78" i="43"/>
  <c r="C78" i="43"/>
  <c r="P77" i="43"/>
  <c r="O77" i="43"/>
  <c r="L77" i="43"/>
  <c r="K77" i="43"/>
  <c r="J77" i="43"/>
  <c r="I77" i="43"/>
  <c r="F77" i="43"/>
  <c r="E77" i="43"/>
  <c r="D77" i="43"/>
  <c r="C77" i="43"/>
  <c r="P76" i="43"/>
  <c r="O76" i="43"/>
  <c r="L76" i="43"/>
  <c r="K76" i="43"/>
  <c r="J76" i="43"/>
  <c r="I76" i="43"/>
  <c r="F76" i="43"/>
  <c r="E76" i="43"/>
  <c r="D76" i="43"/>
  <c r="C76" i="43"/>
  <c r="P75" i="43"/>
  <c r="O75" i="43"/>
  <c r="L75" i="43"/>
  <c r="K75" i="43"/>
  <c r="J75" i="43"/>
  <c r="I75" i="43"/>
  <c r="F75" i="43"/>
  <c r="E75" i="43"/>
  <c r="D75" i="43"/>
  <c r="C75" i="43"/>
  <c r="P74" i="43"/>
  <c r="O74" i="43"/>
  <c r="L74" i="43"/>
  <c r="K74" i="43"/>
  <c r="J74" i="43"/>
  <c r="I74" i="43"/>
  <c r="F74" i="43"/>
  <c r="E74" i="43"/>
  <c r="D74" i="43"/>
  <c r="C74" i="43"/>
  <c r="P73" i="43"/>
  <c r="O73" i="43"/>
  <c r="L73" i="43"/>
  <c r="K73" i="43"/>
  <c r="J73" i="43"/>
  <c r="I73" i="43"/>
  <c r="F73" i="43"/>
  <c r="E73" i="43"/>
  <c r="D73" i="43"/>
  <c r="C73" i="43"/>
  <c r="P72" i="43"/>
  <c r="O72" i="43"/>
  <c r="L72" i="43"/>
  <c r="K72" i="43"/>
  <c r="J72" i="43"/>
  <c r="I72" i="43"/>
  <c r="F72" i="43"/>
  <c r="E72" i="43"/>
  <c r="D72" i="43"/>
  <c r="C72" i="43"/>
  <c r="P71" i="43"/>
  <c r="O71" i="43"/>
  <c r="L71" i="43"/>
  <c r="K71" i="43"/>
  <c r="J71" i="43"/>
  <c r="I71" i="43"/>
  <c r="F71" i="43"/>
  <c r="E71" i="43"/>
  <c r="D71" i="43"/>
  <c r="C71" i="43"/>
  <c r="P70" i="43"/>
  <c r="O70" i="43"/>
  <c r="Q70" i="43" s="1"/>
  <c r="L70" i="43"/>
  <c r="K70" i="43"/>
  <c r="J70" i="43"/>
  <c r="I70" i="43"/>
  <c r="F70" i="43"/>
  <c r="E70" i="43"/>
  <c r="D70" i="43"/>
  <c r="C70" i="43"/>
  <c r="P69" i="43"/>
  <c r="O69" i="43"/>
  <c r="L69" i="43"/>
  <c r="K69" i="43"/>
  <c r="J69" i="43"/>
  <c r="I69" i="43"/>
  <c r="F69" i="43"/>
  <c r="E69" i="43"/>
  <c r="D69" i="43"/>
  <c r="C69" i="43"/>
  <c r="P68" i="43"/>
  <c r="O68" i="43"/>
  <c r="L68" i="43"/>
  <c r="K68" i="43"/>
  <c r="J68" i="43"/>
  <c r="I68" i="43"/>
  <c r="F68" i="43"/>
  <c r="E68" i="43"/>
  <c r="D68" i="43"/>
  <c r="C68" i="43"/>
  <c r="P67" i="43"/>
  <c r="O67" i="43"/>
  <c r="L67" i="43"/>
  <c r="K67" i="43"/>
  <c r="J67" i="43"/>
  <c r="I67" i="43"/>
  <c r="F67" i="43"/>
  <c r="E67" i="43"/>
  <c r="D67" i="43"/>
  <c r="C67" i="43"/>
  <c r="P66" i="43"/>
  <c r="O66" i="43"/>
  <c r="L66" i="43"/>
  <c r="K66" i="43"/>
  <c r="J66" i="43"/>
  <c r="I66" i="43"/>
  <c r="F66" i="43"/>
  <c r="E66" i="43"/>
  <c r="D66" i="43"/>
  <c r="C66" i="43"/>
  <c r="P65" i="43"/>
  <c r="O65" i="43"/>
  <c r="L65" i="43"/>
  <c r="K65" i="43"/>
  <c r="J65" i="43"/>
  <c r="I65" i="43"/>
  <c r="F65" i="43"/>
  <c r="E65" i="43"/>
  <c r="D65" i="43"/>
  <c r="C65" i="43"/>
  <c r="P64" i="43"/>
  <c r="O64" i="43"/>
  <c r="L64" i="43"/>
  <c r="K64" i="43"/>
  <c r="J64" i="43"/>
  <c r="I64" i="43"/>
  <c r="F64" i="43"/>
  <c r="E64" i="43"/>
  <c r="D64" i="43"/>
  <c r="C64" i="43"/>
  <c r="P63" i="43"/>
  <c r="O63" i="43"/>
  <c r="L63" i="43"/>
  <c r="K63" i="43"/>
  <c r="J63" i="43"/>
  <c r="I63" i="43"/>
  <c r="F63" i="43"/>
  <c r="E63" i="43"/>
  <c r="D63" i="43"/>
  <c r="C63" i="43"/>
  <c r="P62" i="43"/>
  <c r="O62" i="43"/>
  <c r="L62" i="43"/>
  <c r="K62" i="43"/>
  <c r="J62" i="43"/>
  <c r="I62" i="43"/>
  <c r="F62" i="43"/>
  <c r="E62" i="43"/>
  <c r="D62" i="43"/>
  <c r="C62" i="43"/>
  <c r="P61" i="43"/>
  <c r="O61" i="43"/>
  <c r="L61" i="43"/>
  <c r="K61" i="43"/>
  <c r="J61" i="43"/>
  <c r="I61" i="43"/>
  <c r="F61" i="43"/>
  <c r="E61" i="43"/>
  <c r="G61" i="43" s="1"/>
  <c r="D61" i="43"/>
  <c r="C61" i="43"/>
  <c r="P60" i="43"/>
  <c r="O60" i="43"/>
  <c r="L60" i="43"/>
  <c r="K60" i="43"/>
  <c r="J60" i="43"/>
  <c r="I60" i="43"/>
  <c r="F60" i="43"/>
  <c r="E60" i="43"/>
  <c r="D60" i="43"/>
  <c r="C60" i="43"/>
  <c r="P59" i="43"/>
  <c r="O59" i="43"/>
  <c r="L59" i="43"/>
  <c r="K59" i="43"/>
  <c r="J59" i="43"/>
  <c r="I59" i="43"/>
  <c r="F59" i="43"/>
  <c r="E59" i="43"/>
  <c r="D59" i="43"/>
  <c r="C59" i="43"/>
  <c r="P58" i="43"/>
  <c r="O58" i="43"/>
  <c r="Q58" i="43" s="1"/>
  <c r="L58" i="43"/>
  <c r="K58" i="43"/>
  <c r="J58" i="43"/>
  <c r="I58" i="43"/>
  <c r="F58" i="43"/>
  <c r="E58" i="43"/>
  <c r="D58" i="43"/>
  <c r="C58" i="43"/>
  <c r="P57" i="43"/>
  <c r="O57" i="43"/>
  <c r="L57" i="43"/>
  <c r="K57" i="43"/>
  <c r="J57" i="43"/>
  <c r="I57" i="43"/>
  <c r="F57" i="43"/>
  <c r="E57" i="43"/>
  <c r="D57" i="43"/>
  <c r="C57" i="43"/>
  <c r="P56" i="43"/>
  <c r="O56" i="43"/>
  <c r="L56" i="43"/>
  <c r="K56" i="43"/>
  <c r="J56" i="43"/>
  <c r="I56" i="43"/>
  <c r="F56" i="43"/>
  <c r="E56" i="43"/>
  <c r="D56" i="43"/>
  <c r="C56" i="43"/>
  <c r="P55" i="43"/>
  <c r="O55" i="43"/>
  <c r="L55" i="43"/>
  <c r="K55" i="43"/>
  <c r="J55" i="43"/>
  <c r="I55" i="43"/>
  <c r="F55" i="43"/>
  <c r="E55" i="43"/>
  <c r="D55" i="43"/>
  <c r="C55" i="43"/>
  <c r="P54" i="43"/>
  <c r="O54" i="43"/>
  <c r="L54" i="43"/>
  <c r="K54" i="43"/>
  <c r="J54" i="43"/>
  <c r="I54" i="43"/>
  <c r="F54" i="43"/>
  <c r="E54" i="43"/>
  <c r="D54" i="43"/>
  <c r="C54" i="43"/>
  <c r="P53" i="43"/>
  <c r="O53" i="43"/>
  <c r="Q53" i="43" s="1"/>
  <c r="L53" i="43"/>
  <c r="K53" i="43"/>
  <c r="J53" i="43"/>
  <c r="I53" i="43"/>
  <c r="F53" i="43"/>
  <c r="E53" i="43"/>
  <c r="D53" i="43"/>
  <c r="C53" i="43"/>
  <c r="P52" i="43"/>
  <c r="O52" i="43"/>
  <c r="L52" i="43"/>
  <c r="K52" i="43"/>
  <c r="J52" i="43"/>
  <c r="I52" i="43"/>
  <c r="F52" i="43"/>
  <c r="E52" i="43"/>
  <c r="D52" i="43"/>
  <c r="C52" i="43"/>
  <c r="P51" i="43"/>
  <c r="O51" i="43"/>
  <c r="L51" i="43"/>
  <c r="K51" i="43"/>
  <c r="J51" i="43"/>
  <c r="I51" i="43"/>
  <c r="F51" i="43"/>
  <c r="E51" i="43"/>
  <c r="D51" i="43"/>
  <c r="C51" i="43"/>
  <c r="P50" i="43"/>
  <c r="O50" i="43"/>
  <c r="L50" i="43"/>
  <c r="K50" i="43"/>
  <c r="J50" i="43"/>
  <c r="I50" i="43"/>
  <c r="F50" i="43"/>
  <c r="E50" i="43"/>
  <c r="D50" i="43"/>
  <c r="C50" i="43"/>
  <c r="P49" i="43"/>
  <c r="O49" i="43"/>
  <c r="L49" i="43"/>
  <c r="K49" i="43"/>
  <c r="J49" i="43"/>
  <c r="I49" i="43"/>
  <c r="F49" i="43"/>
  <c r="E49" i="43"/>
  <c r="D49" i="43"/>
  <c r="C49" i="43"/>
  <c r="P48" i="43"/>
  <c r="O48" i="43"/>
  <c r="L48" i="43"/>
  <c r="K48" i="43"/>
  <c r="J48" i="43"/>
  <c r="I48" i="43"/>
  <c r="F48" i="43"/>
  <c r="E48" i="43"/>
  <c r="D48" i="43"/>
  <c r="C48" i="43"/>
  <c r="P47" i="43"/>
  <c r="O47" i="43"/>
  <c r="L47" i="43"/>
  <c r="K47" i="43"/>
  <c r="J47" i="43"/>
  <c r="I47" i="43"/>
  <c r="F47" i="43"/>
  <c r="E47" i="43"/>
  <c r="D47" i="43"/>
  <c r="C47" i="43"/>
  <c r="P46" i="43"/>
  <c r="O46" i="43"/>
  <c r="Q46" i="43" s="1"/>
  <c r="L46" i="43"/>
  <c r="K46" i="43"/>
  <c r="J46" i="43"/>
  <c r="I46" i="43"/>
  <c r="F46" i="43"/>
  <c r="E46" i="43"/>
  <c r="D46" i="43"/>
  <c r="C46" i="43"/>
  <c r="P45" i="43"/>
  <c r="O45" i="43"/>
  <c r="L45" i="43"/>
  <c r="K45" i="43"/>
  <c r="J45" i="43"/>
  <c r="I45" i="43"/>
  <c r="F45" i="43"/>
  <c r="E45" i="43"/>
  <c r="D45" i="43"/>
  <c r="C45" i="43"/>
  <c r="P44" i="43"/>
  <c r="O44" i="43"/>
  <c r="L44" i="43"/>
  <c r="K44" i="43"/>
  <c r="J44" i="43"/>
  <c r="I44" i="43"/>
  <c r="F44" i="43"/>
  <c r="E44" i="43"/>
  <c r="D44" i="43"/>
  <c r="C44" i="43"/>
  <c r="P43" i="43"/>
  <c r="O43" i="43"/>
  <c r="L43" i="43"/>
  <c r="K43" i="43"/>
  <c r="J43" i="43"/>
  <c r="I43" i="43"/>
  <c r="F43" i="43"/>
  <c r="E43" i="43"/>
  <c r="D43" i="43"/>
  <c r="C43" i="43"/>
  <c r="P42" i="43"/>
  <c r="O42" i="43"/>
  <c r="L42" i="43"/>
  <c r="K42" i="43"/>
  <c r="J42" i="43"/>
  <c r="I42" i="43"/>
  <c r="F42" i="43"/>
  <c r="E42" i="43"/>
  <c r="D42" i="43"/>
  <c r="C42" i="43"/>
  <c r="P41" i="43"/>
  <c r="O41" i="43"/>
  <c r="L41" i="43"/>
  <c r="K41" i="43"/>
  <c r="J41" i="43"/>
  <c r="I41" i="43"/>
  <c r="F41" i="43"/>
  <c r="E41" i="43"/>
  <c r="D41" i="43"/>
  <c r="C41" i="43"/>
  <c r="P40" i="43"/>
  <c r="O40" i="43"/>
  <c r="L40" i="43"/>
  <c r="K40" i="43"/>
  <c r="J40" i="43"/>
  <c r="I40" i="43"/>
  <c r="F40" i="43"/>
  <c r="E40" i="43"/>
  <c r="D40" i="43"/>
  <c r="C40" i="43"/>
  <c r="P39" i="43"/>
  <c r="O39" i="43"/>
  <c r="L39" i="43"/>
  <c r="K39" i="43"/>
  <c r="J39" i="43"/>
  <c r="I39" i="43"/>
  <c r="F39" i="43"/>
  <c r="E39" i="43"/>
  <c r="D39" i="43"/>
  <c r="C39" i="43"/>
  <c r="P38" i="43"/>
  <c r="O38" i="43"/>
  <c r="L38" i="43"/>
  <c r="K38" i="43"/>
  <c r="J38" i="43"/>
  <c r="I38" i="43"/>
  <c r="F38" i="43"/>
  <c r="E38" i="43"/>
  <c r="D38" i="43"/>
  <c r="C38" i="43"/>
  <c r="P37" i="43"/>
  <c r="O37" i="43"/>
  <c r="L37" i="43"/>
  <c r="K37" i="43"/>
  <c r="J37" i="43"/>
  <c r="I37" i="43"/>
  <c r="F37" i="43"/>
  <c r="E37" i="43"/>
  <c r="D37" i="43"/>
  <c r="C37" i="43"/>
  <c r="P36" i="43"/>
  <c r="O36" i="43"/>
  <c r="L36" i="43"/>
  <c r="K36" i="43"/>
  <c r="J36" i="43"/>
  <c r="I36" i="43"/>
  <c r="F36" i="43"/>
  <c r="E36" i="43"/>
  <c r="D36" i="43"/>
  <c r="C36" i="43"/>
  <c r="P35" i="43"/>
  <c r="O35" i="43"/>
  <c r="L35" i="43"/>
  <c r="K35" i="43"/>
  <c r="J35" i="43"/>
  <c r="I35" i="43"/>
  <c r="F35" i="43"/>
  <c r="E35" i="43"/>
  <c r="D35" i="43"/>
  <c r="C35" i="43"/>
  <c r="P34" i="43"/>
  <c r="O34" i="43"/>
  <c r="L34" i="43"/>
  <c r="K34" i="43"/>
  <c r="J34" i="43"/>
  <c r="I34" i="43"/>
  <c r="F34" i="43"/>
  <c r="E34" i="43"/>
  <c r="D34" i="43"/>
  <c r="C34" i="43"/>
  <c r="P33" i="43"/>
  <c r="O33" i="43"/>
  <c r="L33" i="43"/>
  <c r="K33" i="43"/>
  <c r="J33" i="43"/>
  <c r="I33" i="43"/>
  <c r="F33" i="43"/>
  <c r="E33" i="43"/>
  <c r="D33" i="43"/>
  <c r="C33" i="43"/>
  <c r="P32" i="43"/>
  <c r="O32" i="43"/>
  <c r="L32" i="43"/>
  <c r="K32" i="43"/>
  <c r="J32" i="43"/>
  <c r="I32" i="43"/>
  <c r="F32" i="43"/>
  <c r="E32" i="43"/>
  <c r="D32" i="43"/>
  <c r="C32" i="43"/>
  <c r="P31" i="43"/>
  <c r="O31" i="43"/>
  <c r="L31" i="43"/>
  <c r="K31" i="43"/>
  <c r="J31" i="43"/>
  <c r="I31" i="43"/>
  <c r="F31" i="43"/>
  <c r="E31" i="43"/>
  <c r="D31" i="43"/>
  <c r="C31" i="43"/>
  <c r="P30" i="43"/>
  <c r="O30" i="43"/>
  <c r="L30" i="43"/>
  <c r="K30" i="43"/>
  <c r="J30" i="43"/>
  <c r="I30" i="43"/>
  <c r="F30" i="43"/>
  <c r="E30" i="43"/>
  <c r="D30" i="43"/>
  <c r="C30" i="43"/>
  <c r="P29" i="43"/>
  <c r="O29" i="43"/>
  <c r="L29" i="43"/>
  <c r="K29" i="43"/>
  <c r="J29" i="43"/>
  <c r="I29" i="43"/>
  <c r="F29" i="43"/>
  <c r="E29" i="43"/>
  <c r="D29" i="43"/>
  <c r="C29" i="43"/>
  <c r="P28" i="43"/>
  <c r="O28" i="43"/>
  <c r="L28" i="43"/>
  <c r="K28" i="43"/>
  <c r="J28" i="43"/>
  <c r="I28" i="43"/>
  <c r="F28" i="43"/>
  <c r="E28" i="43"/>
  <c r="D28" i="43"/>
  <c r="C28" i="43"/>
  <c r="P27" i="43"/>
  <c r="O27" i="43"/>
  <c r="L27" i="43"/>
  <c r="K27" i="43"/>
  <c r="J27" i="43"/>
  <c r="I27" i="43"/>
  <c r="F27" i="43"/>
  <c r="E27" i="43"/>
  <c r="D27" i="43"/>
  <c r="C27" i="43"/>
  <c r="P26" i="43"/>
  <c r="O26" i="43"/>
  <c r="L26" i="43"/>
  <c r="K26" i="43"/>
  <c r="J26" i="43"/>
  <c r="I26" i="43"/>
  <c r="F26" i="43"/>
  <c r="E26" i="43"/>
  <c r="D26" i="43"/>
  <c r="C26" i="43"/>
  <c r="P25" i="43"/>
  <c r="O25" i="43"/>
  <c r="L25" i="43"/>
  <c r="K25" i="43"/>
  <c r="J25" i="43"/>
  <c r="I25" i="43"/>
  <c r="F25" i="43"/>
  <c r="E25" i="43"/>
  <c r="D25" i="43"/>
  <c r="C25" i="43"/>
  <c r="P24" i="43"/>
  <c r="O24" i="43"/>
  <c r="L24" i="43"/>
  <c r="K24" i="43"/>
  <c r="J24" i="43"/>
  <c r="I24" i="43"/>
  <c r="F24" i="43"/>
  <c r="E24" i="43"/>
  <c r="D24" i="43"/>
  <c r="C24" i="43"/>
  <c r="P23" i="43"/>
  <c r="O23" i="43"/>
  <c r="L23" i="43"/>
  <c r="K23" i="43"/>
  <c r="J23" i="43"/>
  <c r="I23" i="43"/>
  <c r="F23" i="43"/>
  <c r="E23" i="43"/>
  <c r="D23" i="43"/>
  <c r="C23" i="43"/>
  <c r="P22" i="43"/>
  <c r="O22" i="43"/>
  <c r="L22" i="43"/>
  <c r="K22" i="43"/>
  <c r="J22" i="43"/>
  <c r="I22" i="43"/>
  <c r="F22" i="43"/>
  <c r="E22" i="43"/>
  <c r="D22" i="43"/>
  <c r="C22" i="43"/>
  <c r="P21" i="43"/>
  <c r="O21" i="43"/>
  <c r="L21" i="43"/>
  <c r="K21" i="43"/>
  <c r="J21" i="43"/>
  <c r="I21" i="43"/>
  <c r="F21" i="43"/>
  <c r="E21" i="43"/>
  <c r="D21" i="43"/>
  <c r="C21" i="43"/>
  <c r="P20" i="43"/>
  <c r="O20" i="43"/>
  <c r="L20" i="43"/>
  <c r="K20" i="43"/>
  <c r="J20" i="43"/>
  <c r="I20" i="43"/>
  <c r="F20" i="43"/>
  <c r="E20" i="43"/>
  <c r="D20" i="43"/>
  <c r="C20" i="43"/>
  <c r="P19" i="43"/>
  <c r="O19" i="43"/>
  <c r="L19" i="43"/>
  <c r="K19" i="43"/>
  <c r="J19" i="43"/>
  <c r="I19" i="43"/>
  <c r="F19" i="43"/>
  <c r="E19" i="43"/>
  <c r="D19" i="43"/>
  <c r="C19" i="43"/>
  <c r="P18" i="43"/>
  <c r="O18" i="43"/>
  <c r="L18" i="43"/>
  <c r="K18" i="43"/>
  <c r="J18" i="43"/>
  <c r="I18" i="43"/>
  <c r="F18" i="43"/>
  <c r="E18" i="43"/>
  <c r="D18" i="43"/>
  <c r="C18" i="43"/>
  <c r="P17" i="43"/>
  <c r="O17" i="43"/>
  <c r="L17" i="43"/>
  <c r="K17" i="43"/>
  <c r="J17" i="43"/>
  <c r="I17" i="43"/>
  <c r="F17" i="43"/>
  <c r="E17" i="43"/>
  <c r="D17" i="43"/>
  <c r="C17" i="43"/>
  <c r="P16" i="43"/>
  <c r="O16" i="43"/>
  <c r="L16" i="43"/>
  <c r="K16" i="43"/>
  <c r="J16" i="43"/>
  <c r="I16" i="43"/>
  <c r="F16" i="43"/>
  <c r="E16" i="43"/>
  <c r="D16" i="43"/>
  <c r="C16" i="43"/>
  <c r="P15" i="43"/>
  <c r="O15" i="43"/>
  <c r="L15" i="43"/>
  <c r="K15" i="43"/>
  <c r="J15" i="43"/>
  <c r="I15" i="43"/>
  <c r="F15" i="43"/>
  <c r="E15" i="43"/>
  <c r="D15" i="43"/>
  <c r="C15" i="43"/>
  <c r="P14" i="43"/>
  <c r="O14" i="43"/>
  <c r="L14" i="43"/>
  <c r="K14" i="43"/>
  <c r="J14" i="43"/>
  <c r="I14" i="43"/>
  <c r="F14" i="43"/>
  <c r="E14" i="43"/>
  <c r="D14" i="43"/>
  <c r="C14" i="43"/>
  <c r="P13" i="43"/>
  <c r="O13" i="43"/>
  <c r="L13" i="43"/>
  <c r="K13" i="43"/>
  <c r="J13" i="43"/>
  <c r="I13" i="43"/>
  <c r="F13" i="43"/>
  <c r="E13" i="43"/>
  <c r="D13" i="43"/>
  <c r="C13" i="43"/>
  <c r="P12" i="43"/>
  <c r="O12" i="43"/>
  <c r="L12" i="43"/>
  <c r="K12" i="43"/>
  <c r="J12" i="43"/>
  <c r="I12" i="43"/>
  <c r="F12" i="43"/>
  <c r="E12" i="43"/>
  <c r="D12" i="43"/>
  <c r="C12" i="43"/>
  <c r="P11" i="43"/>
  <c r="O11" i="43"/>
  <c r="L11" i="43"/>
  <c r="K11" i="43"/>
  <c r="J11" i="43"/>
  <c r="I11" i="43"/>
  <c r="F11" i="43"/>
  <c r="E11" i="43"/>
  <c r="D11" i="43"/>
  <c r="C11" i="43"/>
  <c r="P10" i="43"/>
  <c r="O10" i="43"/>
  <c r="L10" i="43"/>
  <c r="K10" i="43"/>
  <c r="J10" i="43"/>
  <c r="I10" i="43"/>
  <c r="F10" i="43"/>
  <c r="E10" i="43"/>
  <c r="D10" i="43"/>
  <c r="C10" i="43"/>
  <c r="Q192" i="43" l="1"/>
  <c r="Q240" i="43"/>
  <c r="Q11" i="43"/>
  <c r="Q41" i="43"/>
  <c r="Q137" i="43"/>
  <c r="Q233" i="43"/>
  <c r="Q251" i="43"/>
  <c r="Q257" i="43"/>
  <c r="Q22" i="43"/>
  <c r="Q34" i="43"/>
  <c r="Q130" i="43"/>
  <c r="G162" i="43"/>
  <c r="G216" i="43"/>
  <c r="Q238" i="43"/>
  <c r="G246" i="43"/>
  <c r="G258" i="43"/>
  <c r="Q274" i="43"/>
  <c r="G276" i="43"/>
  <c r="G282" i="43"/>
  <c r="Q286" i="43"/>
  <c r="G294" i="43"/>
  <c r="M296" i="43"/>
  <c r="M181" i="43"/>
  <c r="G30" i="43"/>
  <c r="Q33" i="43"/>
  <c r="G101" i="43"/>
  <c r="G102" i="43"/>
  <c r="M128" i="43"/>
  <c r="Q189" i="43"/>
  <c r="Q98" i="43"/>
  <c r="Q31" i="43"/>
  <c r="Q169" i="43"/>
  <c r="Q175" i="43"/>
  <c r="G147" i="43"/>
  <c r="Q60" i="43"/>
  <c r="Q84" i="43"/>
  <c r="Q96" i="43"/>
  <c r="Q13" i="43"/>
  <c r="Q12" i="43"/>
  <c r="Q61" i="43"/>
  <c r="Q121" i="43"/>
  <c r="Q127" i="43"/>
  <c r="M161" i="43"/>
  <c r="G166" i="43"/>
  <c r="Q308" i="43"/>
  <c r="M39" i="43"/>
  <c r="Q144" i="43"/>
  <c r="Q156" i="43"/>
  <c r="Q217" i="43"/>
  <c r="Q223" i="43"/>
  <c r="Q229" i="43"/>
  <c r="Q247" i="43"/>
  <c r="G116" i="43"/>
  <c r="Q16" i="43"/>
  <c r="G97" i="43"/>
  <c r="Q113" i="43"/>
  <c r="Q168" i="43"/>
  <c r="Q174" i="43"/>
  <c r="M68" i="43"/>
  <c r="Q15" i="43"/>
  <c r="G18" i="43"/>
  <c r="Q39" i="43"/>
  <c r="G42" i="43"/>
  <c r="G90" i="43"/>
  <c r="Q136" i="43"/>
  <c r="Q142" i="43"/>
  <c r="G157" i="43"/>
  <c r="Q197" i="43"/>
  <c r="G200" i="43"/>
  <c r="G205" i="43"/>
  <c r="G253" i="43"/>
  <c r="M255" i="43"/>
  <c r="Q93" i="43"/>
  <c r="Q105" i="43"/>
  <c r="M121" i="43"/>
  <c r="M157" i="43"/>
  <c r="Q159" i="43"/>
  <c r="Q190" i="43"/>
  <c r="Q128" i="43"/>
  <c r="G173" i="43"/>
  <c r="G174" i="43"/>
  <c r="M176" i="43"/>
  <c r="Q201" i="43"/>
  <c r="M205" i="43"/>
  <c r="Q231" i="43"/>
  <c r="M241" i="43"/>
  <c r="Q243" i="43"/>
  <c r="Q249" i="43"/>
  <c r="Q273" i="43"/>
  <c r="Q285" i="43"/>
  <c r="Q291" i="43"/>
  <c r="Q26" i="43"/>
  <c r="G29" i="43"/>
  <c r="Q32" i="43"/>
  <c r="G41" i="43"/>
  <c r="Q45" i="43"/>
  <c r="G49" i="43"/>
  <c r="G54" i="43"/>
  <c r="M56" i="43"/>
  <c r="G68" i="43"/>
  <c r="G73" i="43"/>
  <c r="M87" i="43"/>
  <c r="M106" i="43"/>
  <c r="Q108" i="43"/>
  <c r="Q120" i="43"/>
  <c r="Q133" i="43"/>
  <c r="Q139" i="43"/>
  <c r="G161" i="43"/>
  <c r="M162" i="43"/>
  <c r="M168" i="43"/>
  <c r="Q170" i="43"/>
  <c r="Q176" i="43"/>
  <c r="Q220" i="43"/>
  <c r="M224" i="43"/>
  <c r="M231" i="43"/>
  <c r="M248" i="43"/>
  <c r="Q250" i="43"/>
  <c r="Q256" i="43"/>
  <c r="M260" i="43"/>
  <c r="Q262" i="43"/>
  <c r="Q268" i="43"/>
  <c r="Q298" i="43"/>
  <c r="Q310" i="43"/>
  <c r="G15" i="43"/>
  <c r="Q57" i="43"/>
  <c r="G79" i="43"/>
  <c r="Q82" i="43"/>
  <c r="Q94" i="43"/>
  <c r="Q101" i="43"/>
  <c r="G270" i="43"/>
  <c r="G306" i="43"/>
  <c r="Q25" i="43"/>
  <c r="Q37" i="43"/>
  <c r="Q50" i="43"/>
  <c r="M61" i="43"/>
  <c r="Q69" i="43"/>
  <c r="Q81" i="43"/>
  <c r="Q87" i="43"/>
  <c r="M99" i="43"/>
  <c r="Q119" i="43"/>
  <c r="Q125" i="43"/>
  <c r="M136" i="43"/>
  <c r="Q138" i="43"/>
  <c r="Q194" i="43"/>
  <c r="G203" i="43"/>
  <c r="Q213" i="43"/>
  <c r="G234" i="43"/>
  <c r="Q237" i="43"/>
  <c r="G239" i="43"/>
  <c r="G245" i="43"/>
  <c r="Q261" i="43"/>
  <c r="M265" i="43"/>
  <c r="G269" i="43"/>
  <c r="Q297" i="43"/>
  <c r="Q17" i="43"/>
  <c r="G20" i="43"/>
  <c r="G21" i="43"/>
  <c r="Q24" i="43"/>
  <c r="Q36" i="43"/>
  <c r="G58" i="43"/>
  <c r="G65" i="43"/>
  <c r="M73" i="43"/>
  <c r="M97" i="43"/>
  <c r="Q99" i="43"/>
  <c r="M116" i="43"/>
  <c r="Q118" i="43"/>
  <c r="M123" i="43"/>
  <c r="M147" i="43"/>
  <c r="Q149" i="43"/>
  <c r="M217" i="43"/>
  <c r="Q242" i="43"/>
  <c r="Q260" i="43"/>
  <c r="Q266" i="43"/>
  <c r="Q272" i="43"/>
  <c r="Q278" i="43"/>
  <c r="Q284" i="43"/>
  <c r="Q290" i="43"/>
  <c r="M16" i="43"/>
  <c r="Q62" i="43"/>
  <c r="M72" i="43"/>
  <c r="G114" i="43"/>
  <c r="G145" i="43"/>
  <c r="Q161" i="43"/>
  <c r="G164" i="43"/>
  <c r="G170" i="43"/>
  <c r="G176" i="43"/>
  <c r="G232" i="43"/>
  <c r="G70" i="43"/>
  <c r="G88" i="43"/>
  <c r="M140" i="43"/>
  <c r="M184" i="43"/>
  <c r="M221" i="43"/>
  <c r="M299" i="43"/>
  <c r="Q301" i="43"/>
  <c r="G13" i="43"/>
  <c r="Q35" i="43"/>
  <c r="G37" i="43"/>
  <c r="Q42" i="43"/>
  <c r="Q85" i="43"/>
  <c r="Q129" i="43"/>
  <c r="G132" i="43"/>
  <c r="G151" i="43"/>
  <c r="Q167" i="43"/>
  <c r="G213" i="43"/>
  <c r="G225" i="43"/>
  <c r="G273" i="43"/>
  <c r="G285" i="43"/>
  <c r="G291" i="43"/>
  <c r="G303" i="43"/>
  <c r="G309" i="43"/>
  <c r="M13" i="43"/>
  <c r="G56" i="43"/>
  <c r="M133" i="43"/>
  <c r="Q135" i="43"/>
  <c r="M139" i="43"/>
  <c r="Q141" i="43"/>
  <c r="G150" i="43"/>
  <c r="Q153" i="43"/>
  <c r="Q166" i="43"/>
  <c r="Q172" i="43"/>
  <c r="Q216" i="43"/>
  <c r="Q252" i="43"/>
  <c r="Q276" i="43"/>
  <c r="Q300" i="43"/>
  <c r="Q306" i="43"/>
  <c r="G11" i="43"/>
  <c r="G99" i="43"/>
  <c r="G149" i="43"/>
  <c r="M195" i="43"/>
  <c r="M201" i="43"/>
  <c r="G212" i="43"/>
  <c r="G17" i="43"/>
  <c r="M20" i="43"/>
  <c r="M32" i="43"/>
  <c r="M37" i="43"/>
  <c r="M44" i="43"/>
  <c r="G80" i="43"/>
  <c r="Q90" i="43"/>
  <c r="Q103" i="43"/>
  <c r="G124" i="43"/>
  <c r="Q177" i="43"/>
  <c r="G180" i="43"/>
  <c r="M183" i="43"/>
  <c r="M188" i="43"/>
  <c r="M207" i="43"/>
  <c r="Q209" i="43"/>
  <c r="Q245" i="43"/>
  <c r="Q269" i="43"/>
  <c r="Q281" i="43"/>
  <c r="M309" i="43"/>
  <c r="Q71" i="43"/>
  <c r="Q78" i="43"/>
  <c r="G104" i="43"/>
  <c r="G139" i="43"/>
  <c r="Q191" i="43"/>
  <c r="M242" i="43"/>
  <c r="C327" i="43"/>
  <c r="M28" i="43"/>
  <c r="Q48" i="43"/>
  <c r="M98" i="43"/>
  <c r="Q114" i="43"/>
  <c r="G152" i="43"/>
  <c r="G187" i="43"/>
  <c r="G193" i="43"/>
  <c r="G266" i="43"/>
  <c r="Q23" i="43"/>
  <c r="M27" i="43"/>
  <c r="G33" i="43"/>
  <c r="G43" i="43"/>
  <c r="M51" i="43"/>
  <c r="M58" i="43"/>
  <c r="M59" i="43"/>
  <c r="Q77" i="43"/>
  <c r="M104" i="43"/>
  <c r="Q107" i="43"/>
  <c r="G109" i="43"/>
  <c r="M134" i="43"/>
  <c r="G138" i="43"/>
  <c r="Q155" i="43"/>
  <c r="G186" i="43"/>
  <c r="G198" i="43"/>
  <c r="M200" i="43"/>
  <c r="M213" i="43"/>
  <c r="Q222" i="43"/>
  <c r="G224" i="43"/>
  <c r="Q228" i="43"/>
  <c r="G230" i="43"/>
  <c r="M239" i="43"/>
  <c r="M253" i="43"/>
  <c r="M273" i="43"/>
  <c r="G290" i="43"/>
  <c r="Q293" i="43"/>
  <c r="G19" i="43"/>
  <c r="G25" i="43"/>
  <c r="Q29" i="43"/>
  <c r="Q30" i="43"/>
  <c r="G32" i="43"/>
  <c r="Q47" i="43"/>
  <c r="M75" i="43"/>
  <c r="Q76" i="43"/>
  <c r="M80" i="43"/>
  <c r="Q106" i="43"/>
  <c r="M117" i="43"/>
  <c r="G122" i="43"/>
  <c r="G137" i="43"/>
  <c r="Q140" i="43"/>
  <c r="G143" i="43"/>
  <c r="M152" i="43"/>
  <c r="Q154" i="43"/>
  <c r="G158" i="43"/>
  <c r="G185" i="43"/>
  <c r="M193" i="43"/>
  <c r="Q195" i="43"/>
  <c r="M199" i="43"/>
  <c r="Q202" i="43"/>
  <c r="Q208" i="43"/>
  <c r="Q215" i="43"/>
  <c r="M219" i="43"/>
  <c r="Q221" i="43"/>
  <c r="Q248" i="43"/>
  <c r="M254" i="43"/>
  <c r="G257" i="43"/>
  <c r="G264" i="43"/>
  <c r="G265" i="43"/>
  <c r="G278" i="43"/>
  <c r="M297" i="43"/>
  <c r="Q21" i="43"/>
  <c r="G24" i="43"/>
  <c r="Q28" i="43"/>
  <c r="G78" i="43"/>
  <c r="G92" i="43"/>
  <c r="M111" i="43"/>
  <c r="G121" i="43"/>
  <c r="G136" i="43"/>
  <c r="M159" i="43"/>
  <c r="G177" i="43"/>
  <c r="Q188" i="43"/>
  <c r="G191" i="43"/>
  <c r="M194" i="43"/>
  <c r="G197" i="43"/>
  <c r="G210" i="43"/>
  <c r="M212" i="43"/>
  <c r="Q214" i="43"/>
  <c r="G217" i="43"/>
  <c r="G229" i="43"/>
  <c r="Q234" i="43"/>
  <c r="G236" i="43"/>
  <c r="G243" i="43"/>
  <c r="Q254" i="43"/>
  <c r="M258" i="43"/>
  <c r="Q267" i="43"/>
  <c r="G277" i="43"/>
  <c r="Q280" i="43"/>
  <c r="M284" i="43"/>
  <c r="G289" i="43"/>
  <c r="Q292" i="43"/>
  <c r="Q305" i="43"/>
  <c r="M18" i="43"/>
  <c r="M25" i="43"/>
  <c r="Q44" i="43"/>
  <c r="M49" i="43"/>
  <c r="Q51" i="43"/>
  <c r="G69" i="43"/>
  <c r="G77" i="43"/>
  <c r="Q104" i="43"/>
  <c r="M110" i="43"/>
  <c r="G113" i="43"/>
  <c r="G128" i="43"/>
  <c r="Q132" i="43"/>
  <c r="G135" i="43"/>
  <c r="M145" i="43"/>
  <c r="G155" i="43"/>
  <c r="Q160" i="43"/>
  <c r="M171" i="43"/>
  <c r="Q173" i="43"/>
  <c r="Q180" i="43"/>
  <c r="Q187" i="43"/>
  <c r="G196" i="43"/>
  <c r="G209" i="43"/>
  <c r="G222" i="43"/>
  <c r="G223" i="43"/>
  <c r="Q226" i="43"/>
  <c r="M244" i="43"/>
  <c r="M257" i="43"/>
  <c r="G262" i="43"/>
  <c r="M264" i="43"/>
  <c r="M277" i="43"/>
  <c r="Q304" i="43"/>
  <c r="M17" i="43"/>
  <c r="G22" i="43"/>
  <c r="M24" i="43"/>
  <c r="M40" i="43"/>
  <c r="Q43" i="43"/>
  <c r="G47" i="43"/>
  <c r="M50" i="43"/>
  <c r="G53" i="43"/>
  <c r="M63" i="43"/>
  <c r="Q65" i="43"/>
  <c r="M85" i="43"/>
  <c r="M92" i="43"/>
  <c r="M109" i="43"/>
  <c r="Q110" i="43"/>
  <c r="Q117" i="43"/>
  <c r="G169" i="43"/>
  <c r="M177" i="43"/>
  <c r="M191" i="43"/>
  <c r="Q193" i="43"/>
  <c r="G202" i="43"/>
  <c r="Q206" i="43"/>
  <c r="Q219" i="43"/>
  <c r="Q225" i="43"/>
  <c r="M229" i="43"/>
  <c r="M243" i="43"/>
  <c r="M272" i="43"/>
  <c r="M278" i="43"/>
  <c r="G281" i="43"/>
  <c r="M289" i="43"/>
  <c r="G293" i="43"/>
  <c r="G300" i="43"/>
  <c r="G301" i="43"/>
  <c r="M308" i="43"/>
  <c r="M114" i="43"/>
  <c r="M164" i="43"/>
  <c r="M216" i="43"/>
  <c r="G221" i="43"/>
  <c r="M236" i="43"/>
  <c r="M250" i="43"/>
  <c r="M270" i="43"/>
  <c r="M288" i="43"/>
  <c r="M294" i="43"/>
  <c r="M301" i="43"/>
  <c r="G14" i="43"/>
  <c r="G36" i="43"/>
  <c r="Q64" i="43"/>
  <c r="M69" i="43"/>
  <c r="Q72" i="43"/>
  <c r="G89" i="43"/>
  <c r="M91" i="43"/>
  <c r="M113" i="43"/>
  <c r="M122" i="43"/>
  <c r="G126" i="43"/>
  <c r="G127" i="43"/>
  <c r="G133" i="43"/>
  <c r="M135" i="43"/>
  <c r="G163" i="43"/>
  <c r="G168" i="43"/>
  <c r="Q179" i="43"/>
  <c r="G181" i="43"/>
  <c r="Q186" i="43"/>
  <c r="G188" i="43"/>
  <c r="G214" i="43"/>
  <c r="M222" i="43"/>
  <c r="Q224" i="43"/>
  <c r="M235" i="43"/>
  <c r="G240" i="43"/>
  <c r="G241" i="43"/>
  <c r="G248" i="43"/>
  <c r="Q258" i="43"/>
  <c r="G267" i="43"/>
  <c r="M269" i="43"/>
  <c r="G286" i="43"/>
  <c r="Q296" i="43"/>
  <c r="Q309" i="43"/>
  <c r="M15" i="43"/>
  <c r="G44" i="43"/>
  <c r="G59" i="43"/>
  <c r="G66" i="43"/>
  <c r="G81" i="43"/>
  <c r="M107" i="43"/>
  <c r="G125" i="43"/>
  <c r="G140" i="43"/>
  <c r="Q165" i="43"/>
  <c r="M169" i="43"/>
  <c r="M202" i="43"/>
  <c r="Q204" i="43"/>
  <c r="G207" i="43"/>
  <c r="Q277" i="43"/>
  <c r="M293" i="43"/>
  <c r="G298" i="43"/>
  <c r="M300" i="43"/>
  <c r="Q302" i="43"/>
  <c r="G305" i="43"/>
  <c r="G10" i="43"/>
  <c r="M12" i="43"/>
  <c r="Q18" i="43"/>
  <c r="M38" i="43"/>
  <c r="M46" i="43"/>
  <c r="M47" i="43"/>
  <c r="M57" i="43"/>
  <c r="G67" i="43"/>
  <c r="G76" i="43"/>
  <c r="M79" i="43"/>
  <c r="G87" i="43"/>
  <c r="Q95" i="43"/>
  <c r="M101" i="43"/>
  <c r="M102" i="43"/>
  <c r="G110" i="43"/>
  <c r="G120" i="43"/>
  <c r="M124" i="43"/>
  <c r="G154" i="43"/>
  <c r="M156" i="43"/>
  <c r="Q162" i="43"/>
  <c r="G165" i="43"/>
  <c r="M182" i="43"/>
  <c r="M190" i="43"/>
  <c r="G211" i="43"/>
  <c r="G220" i="43"/>
  <c r="M223" i="43"/>
  <c r="G231" i="43"/>
  <c r="Q239" i="43"/>
  <c r="M245" i="43"/>
  <c r="M246" i="43"/>
  <c r="G254" i="43"/>
  <c r="M267" i="43"/>
  <c r="Q270" i="43"/>
  <c r="M275" i="43"/>
  <c r="G283" i="43"/>
  <c r="M303" i="43"/>
  <c r="M311" i="43"/>
  <c r="E327" i="43"/>
  <c r="M26" i="43"/>
  <c r="Q27" i="43"/>
  <c r="M34" i="43"/>
  <c r="M35" i="43"/>
  <c r="Q38" i="43"/>
  <c r="M45" i="43"/>
  <c r="G55" i="43"/>
  <c r="G64" i="43"/>
  <c r="M67" i="43"/>
  <c r="Q73" i="43"/>
  <c r="G75" i="43"/>
  <c r="Q83" i="43"/>
  <c r="M89" i="43"/>
  <c r="M90" i="43"/>
  <c r="G98" i="43"/>
  <c r="G108" i="43"/>
  <c r="M112" i="43"/>
  <c r="Q115" i="43"/>
  <c r="Q116" i="43"/>
  <c r="G131" i="43"/>
  <c r="G142" i="43"/>
  <c r="M144" i="43"/>
  <c r="Q148" i="43"/>
  <c r="Q150" i="43"/>
  <c r="G153" i="43"/>
  <c r="M167" i="43"/>
  <c r="M170" i="43"/>
  <c r="Q171" i="43"/>
  <c r="M178" i="43"/>
  <c r="M179" i="43"/>
  <c r="Q182" i="43"/>
  <c r="M189" i="43"/>
  <c r="G199" i="43"/>
  <c r="Q205" i="43"/>
  <c r="G208" i="43"/>
  <c r="M211" i="43"/>
  <c r="G219" i="43"/>
  <c r="Q227" i="43"/>
  <c r="M233" i="43"/>
  <c r="M234" i="43"/>
  <c r="G242" i="43"/>
  <c r="G252" i="43"/>
  <c r="M256" i="43"/>
  <c r="Q259" i="43"/>
  <c r="G263" i="43"/>
  <c r="G272" i="43"/>
  <c r="M274" i="43"/>
  <c r="G280" i="43"/>
  <c r="M283" i="43"/>
  <c r="Q287" i="43"/>
  <c r="M292" i="43"/>
  <c r="Q295" i="43"/>
  <c r="G299" i="43"/>
  <c r="G308" i="43"/>
  <c r="M310" i="43"/>
  <c r="F323" i="43"/>
  <c r="M14" i="43"/>
  <c r="M22" i="43"/>
  <c r="M23" i="43"/>
  <c r="M33" i="43"/>
  <c r="G52" i="43"/>
  <c r="M55" i="43"/>
  <c r="G63" i="43"/>
  <c r="M77" i="43"/>
  <c r="M78" i="43"/>
  <c r="G86" i="43"/>
  <c r="G96" i="43"/>
  <c r="M100" i="43"/>
  <c r="G119" i="43"/>
  <c r="G130" i="43"/>
  <c r="M132" i="43"/>
  <c r="G141" i="43"/>
  <c r="M155" i="43"/>
  <c r="M158" i="43"/>
  <c r="M166" i="43"/>
  <c r="I327" i="43"/>
  <c r="M11" i="43"/>
  <c r="Q14" i="43"/>
  <c r="M21" i="43"/>
  <c r="G31" i="43"/>
  <c r="G40" i="43"/>
  <c r="M43" i="43"/>
  <c r="Q49" i="43"/>
  <c r="G51" i="43"/>
  <c r="Q59" i="43"/>
  <c r="M65" i="43"/>
  <c r="M66" i="43"/>
  <c r="G74" i="43"/>
  <c r="G84" i="43"/>
  <c r="M88" i="43"/>
  <c r="Q91" i="43"/>
  <c r="Q92" i="43"/>
  <c r="G107" i="43"/>
  <c r="G118" i="43"/>
  <c r="M120" i="43"/>
  <c r="Q124" i="43"/>
  <c r="Q126" i="43"/>
  <c r="G129" i="43"/>
  <c r="M143" i="43"/>
  <c r="M146" i="43"/>
  <c r="Q147" i="43"/>
  <c r="M154" i="43"/>
  <c r="Q158" i="43"/>
  <c r="M165" i="43"/>
  <c r="G175" i="43"/>
  <c r="Q181" i="43"/>
  <c r="G184" i="43"/>
  <c r="M187" i="43"/>
  <c r="G195" i="43"/>
  <c r="Q203" i="43"/>
  <c r="M209" i="43"/>
  <c r="M210" i="43"/>
  <c r="G218" i="43"/>
  <c r="G228" i="43"/>
  <c r="M232" i="43"/>
  <c r="Q235" i="43"/>
  <c r="Q236" i="43"/>
  <c r="G251" i="43"/>
  <c r="G261" i="43"/>
  <c r="M266" i="43"/>
  <c r="G279" i="43"/>
  <c r="M281" i="43"/>
  <c r="M282" i="43"/>
  <c r="G288" i="43"/>
  <c r="Q294" i="43"/>
  <c r="G297" i="43"/>
  <c r="M302" i="43"/>
  <c r="J327" i="43"/>
  <c r="G28" i="43"/>
  <c r="M31" i="43"/>
  <c r="M53" i="43"/>
  <c r="M54" i="43"/>
  <c r="G62" i="43"/>
  <c r="G72" i="43"/>
  <c r="M76" i="43"/>
  <c r="Q79" i="43"/>
  <c r="Q80" i="43"/>
  <c r="G95" i="43"/>
  <c r="G106" i="43"/>
  <c r="M108" i="43"/>
  <c r="Q112" i="43"/>
  <c r="G117" i="43"/>
  <c r="M131" i="43"/>
  <c r="M142" i="43"/>
  <c r="Q146" i="43"/>
  <c r="M153" i="43"/>
  <c r="G172" i="43"/>
  <c r="M175" i="43"/>
  <c r="G183" i="43"/>
  <c r="M197" i="43"/>
  <c r="M198" i="43"/>
  <c r="G206" i="43"/>
  <c r="M220" i="43"/>
  <c r="G250" i="43"/>
  <c r="M252" i="43"/>
  <c r="M263" i="43"/>
  <c r="G271" i="43"/>
  <c r="M291" i="43"/>
  <c r="G307" i="43"/>
  <c r="K327" i="43"/>
  <c r="G16" i="43"/>
  <c r="M19" i="43"/>
  <c r="G39" i="43"/>
  <c r="M41" i="43"/>
  <c r="M42" i="43"/>
  <c r="G50" i="43"/>
  <c r="G60" i="43"/>
  <c r="M64" i="43"/>
  <c r="Q67" i="43"/>
  <c r="Q68" i="43"/>
  <c r="G83" i="43"/>
  <c r="G94" i="43"/>
  <c r="M96" i="43"/>
  <c r="Q100" i="43"/>
  <c r="Q102" i="43"/>
  <c r="G105" i="43"/>
  <c r="M119" i="43"/>
  <c r="Q123" i="43"/>
  <c r="M130" i="43"/>
  <c r="Q134" i="43"/>
  <c r="M141" i="43"/>
  <c r="Q157" i="43"/>
  <c r="G160" i="43"/>
  <c r="M163" i="43"/>
  <c r="G171" i="43"/>
  <c r="M185" i="43"/>
  <c r="M186" i="43"/>
  <c r="G194" i="43"/>
  <c r="G204" i="43"/>
  <c r="M208" i="43"/>
  <c r="Q211" i="43"/>
  <c r="Q212" i="43"/>
  <c r="G227" i="43"/>
  <c r="G238" i="43"/>
  <c r="M240" i="43"/>
  <c r="Q244" i="43"/>
  <c r="Q246" i="43"/>
  <c r="G249" i="43"/>
  <c r="G260" i="43"/>
  <c r="M262" i="43"/>
  <c r="G268" i="43"/>
  <c r="M271" i="43"/>
  <c r="Q275" i="43"/>
  <c r="M280" i="43"/>
  <c r="Q283" i="43"/>
  <c r="G287" i="43"/>
  <c r="G296" i="43"/>
  <c r="M298" i="43"/>
  <c r="G304" i="43"/>
  <c r="M307" i="43"/>
  <c r="Q311" i="43"/>
  <c r="L323" i="43"/>
  <c r="G27" i="43"/>
  <c r="M29" i="43"/>
  <c r="M30" i="43"/>
  <c r="G38" i="43"/>
  <c r="G48" i="43"/>
  <c r="M52" i="43"/>
  <c r="Q55" i="43"/>
  <c r="Q56" i="43"/>
  <c r="G71" i="43"/>
  <c r="G82" i="43"/>
  <c r="M84" i="43"/>
  <c r="Q88" i="43"/>
  <c r="G93" i="43"/>
  <c r="Q111" i="43"/>
  <c r="M118" i="43"/>
  <c r="Q122" i="43"/>
  <c r="M129" i="43"/>
  <c r="Q145" i="43"/>
  <c r="G148" i="43"/>
  <c r="M151" i="43"/>
  <c r="G159" i="43"/>
  <c r="M173" i="43"/>
  <c r="M174" i="43"/>
  <c r="G182" i="43"/>
  <c r="G192" i="43"/>
  <c r="M196" i="43"/>
  <c r="Q199" i="43"/>
  <c r="Q200" i="43"/>
  <c r="G215" i="43"/>
  <c r="G226" i="43"/>
  <c r="M228" i="43"/>
  <c r="Q232" i="43"/>
  <c r="G237" i="43"/>
  <c r="M251" i="43"/>
  <c r="Q255" i="43"/>
  <c r="M261" i="43"/>
  <c r="Q264" i="43"/>
  <c r="Q265" i="43"/>
  <c r="O327" i="43"/>
  <c r="G26" i="43"/>
  <c r="M290" i="43"/>
  <c r="M305" i="43"/>
  <c r="M306" i="43"/>
  <c r="P323" i="43"/>
  <c r="M60" i="43"/>
  <c r="Q66" i="43"/>
  <c r="M83" i="43"/>
  <c r="M86" i="43"/>
  <c r="M94" i="43"/>
  <c r="M95" i="43"/>
  <c r="M105" i="43"/>
  <c r="G115" i="43"/>
  <c r="M127" i="43"/>
  <c r="Q143" i="43"/>
  <c r="M149" i="43"/>
  <c r="M150" i="43"/>
  <c r="M172" i="43"/>
  <c r="M204" i="43"/>
  <c r="Q210" i="43"/>
  <c r="M227" i="43"/>
  <c r="M230" i="43"/>
  <c r="M238" i="43"/>
  <c r="M249" i="43"/>
  <c r="G259" i="43"/>
  <c r="M279" i="43"/>
  <c r="Q282" i="43"/>
  <c r="M287" i="43"/>
  <c r="G295" i="43"/>
  <c r="Q10" i="43"/>
  <c r="G12" i="43"/>
  <c r="Q19" i="43"/>
  <c r="Q20" i="43"/>
  <c r="G35" i="43"/>
  <c r="G46" i="43"/>
  <c r="M48" i="43"/>
  <c r="Q52" i="43"/>
  <c r="Q54" i="43"/>
  <c r="G57" i="43"/>
  <c r="M74" i="43"/>
  <c r="Q75" i="43"/>
  <c r="M82" i="43"/>
  <c r="Q86" i="43"/>
  <c r="M93" i="43"/>
  <c r="G103" i="43"/>
  <c r="Q109" i="43"/>
  <c r="G112" i="43"/>
  <c r="M115" i="43"/>
  <c r="G123" i="43"/>
  <c r="Q131" i="43"/>
  <c r="M137" i="43"/>
  <c r="M138" i="43"/>
  <c r="G146" i="43"/>
  <c r="G156" i="43"/>
  <c r="M160" i="43"/>
  <c r="Q163" i="43"/>
  <c r="Q164" i="43"/>
  <c r="G179" i="43"/>
  <c r="G190" i="43"/>
  <c r="M192" i="43"/>
  <c r="Q196" i="43"/>
  <c r="Q198" i="43"/>
  <c r="G201" i="43"/>
  <c r="M215" i="43"/>
  <c r="M218" i="43"/>
  <c r="M226" i="43"/>
  <c r="Q230" i="43"/>
  <c r="M237" i="43"/>
  <c r="G247" i="43"/>
  <c r="Q253" i="43"/>
  <c r="G256" i="43"/>
  <c r="M259" i="43"/>
  <c r="Q263" i="43"/>
  <c r="M268" i="43"/>
  <c r="Q271" i="43"/>
  <c r="G275" i="43"/>
  <c r="G284" i="43"/>
  <c r="M286" i="43"/>
  <c r="G292" i="43"/>
  <c r="M295" i="43"/>
  <c r="Q299" i="43"/>
  <c r="M304" i="43"/>
  <c r="Q307" i="43"/>
  <c r="G311" i="43"/>
  <c r="G23" i="43"/>
  <c r="G34" i="43"/>
  <c r="M36" i="43"/>
  <c r="Q40" i="43"/>
  <c r="G45" i="43"/>
  <c r="M62" i="43"/>
  <c r="Q63" i="43"/>
  <c r="M70" i="43"/>
  <c r="M71" i="43"/>
  <c r="Q74" i="43"/>
  <c r="M81" i="43"/>
  <c r="G91" i="43"/>
  <c r="Q97" i="43"/>
  <c r="G100" i="43"/>
  <c r="M103" i="43"/>
  <c r="G111" i="43"/>
  <c r="M125" i="43"/>
  <c r="M126" i="43"/>
  <c r="G134" i="43"/>
  <c r="G144" i="43"/>
  <c r="M148" i="43"/>
  <c r="Q151" i="43"/>
  <c r="Q152" i="43"/>
  <c r="G167" i="43"/>
  <c r="G178" i="43"/>
  <c r="M180" i="43"/>
  <c r="Q184" i="43"/>
  <c r="G189" i="43"/>
  <c r="M203" i="43"/>
  <c r="M206" i="43"/>
  <c r="Q207" i="43"/>
  <c r="M214" i="43"/>
  <c r="Q218" i="43"/>
  <c r="M225" i="43"/>
  <c r="G235" i="43"/>
  <c r="Q241" i="43"/>
  <c r="G244" i="43"/>
  <c r="M247" i="43"/>
  <c r="G255" i="43"/>
  <c r="G274" i="43"/>
  <c r="M276" i="43"/>
  <c r="Q279" i="43"/>
  <c r="M285" i="43"/>
  <c r="Q288" i="43"/>
  <c r="Q289" i="43"/>
  <c r="G302" i="43"/>
  <c r="G310" i="43"/>
  <c r="M10" i="43"/>
  <c r="D327" i="43"/>
  <c r="Q323" i="43" l="1"/>
  <c r="Q327" i="43" s="1"/>
  <c r="G323" i="43"/>
  <c r="L327" i="43"/>
  <c r="M323" i="43"/>
  <c r="M327" i="43" s="1"/>
  <c r="L38" i="41" l="1"/>
  <c r="J38" i="41"/>
  <c r="AC36" i="41"/>
  <c r="AA36" i="41"/>
  <c r="AB36" i="41" s="1"/>
  <c r="Z36" i="41"/>
  <c r="Y36" i="41"/>
  <c r="P36" i="41"/>
  <c r="AB35" i="41"/>
  <c r="AA35" i="41"/>
  <c r="Z35" i="41"/>
  <c r="Y35" i="41"/>
  <c r="P35" i="41"/>
  <c r="Y34" i="41"/>
  <c r="P34" i="41"/>
  <c r="P33" i="41"/>
  <c r="N32" i="41"/>
  <c r="AC30" i="41"/>
  <c r="AC38" i="41" s="1"/>
  <c r="AA30" i="41"/>
  <c r="AB30" i="41" s="1"/>
  <c r="Z30" i="41"/>
  <c r="Y30" i="41"/>
  <c r="P30" i="41"/>
  <c r="AE30" i="41" s="1"/>
  <c r="AA29" i="41"/>
  <c r="AA38" i="41" s="1"/>
  <c r="Z29" i="41"/>
  <c r="Y29" i="41"/>
  <c r="P29" i="41"/>
  <c r="Y28" i="41"/>
  <c r="Z28" i="41" s="1"/>
  <c r="P28" i="41"/>
  <c r="P27" i="41"/>
  <c r="N26" i="41"/>
  <c r="AC17" i="41"/>
  <c r="L17" i="41"/>
  <c r="J17" i="41"/>
  <c r="Y15" i="41"/>
  <c r="Z15" i="41" s="1"/>
  <c r="AA15" i="41" s="1"/>
  <c r="P15" i="41"/>
  <c r="Y13" i="41"/>
  <c r="Z13" i="41" s="1"/>
  <c r="AA13" i="41" s="1"/>
  <c r="AB13" i="41" s="1"/>
  <c r="R13" i="41"/>
  <c r="P13" i="41"/>
  <c r="Y12" i="41"/>
  <c r="P12" i="41"/>
  <c r="Y11" i="41"/>
  <c r="Z11" i="41" s="1"/>
  <c r="AE11" i="41" s="1"/>
  <c r="P11" i="41"/>
  <c r="P10" i="41"/>
  <c r="N9" i="41"/>
  <c r="R60" i="41" s="1"/>
  <c r="Y6" i="41"/>
  <c r="Z6" i="41" s="1"/>
  <c r="P6" i="41"/>
  <c r="F24" i="40"/>
  <c r="J17" i="40"/>
  <c r="H17" i="40"/>
  <c r="F17" i="40"/>
  <c r="F15" i="40"/>
  <c r="F11" i="40"/>
  <c r="D9" i="39"/>
  <c r="F10" i="37"/>
  <c r="F7" i="37"/>
  <c r="D16" i="35"/>
  <c r="D15" i="35"/>
  <c r="D7" i="35"/>
  <c r="D312" i="34"/>
  <c r="C312" i="34"/>
  <c r="G326" i="33"/>
  <c r="G325" i="33"/>
  <c r="G324" i="33"/>
  <c r="O319" i="33"/>
  <c r="N319" i="33"/>
  <c r="M319" i="33"/>
  <c r="L319" i="33"/>
  <c r="H319" i="33"/>
  <c r="O318" i="33"/>
  <c r="N318" i="33"/>
  <c r="M318" i="33"/>
  <c r="L318" i="33"/>
  <c r="H318" i="33"/>
  <c r="P317" i="33"/>
  <c r="O317" i="33"/>
  <c r="N317" i="33"/>
  <c r="M317" i="33"/>
  <c r="L317" i="33"/>
  <c r="H317" i="33"/>
  <c r="P316" i="33"/>
  <c r="Q316" i="33" s="1"/>
  <c r="O316" i="33"/>
  <c r="N316" i="33"/>
  <c r="M316" i="33"/>
  <c r="L316" i="33"/>
  <c r="H316" i="33"/>
  <c r="AA319" i="32" s="1"/>
  <c r="O315" i="33"/>
  <c r="N315" i="33"/>
  <c r="M315" i="33"/>
  <c r="L315" i="33"/>
  <c r="H315" i="33"/>
  <c r="O314" i="33"/>
  <c r="N314" i="33"/>
  <c r="M314" i="33"/>
  <c r="L314" i="33"/>
  <c r="H314" i="33"/>
  <c r="O313" i="33"/>
  <c r="N313" i="33"/>
  <c r="M313" i="33"/>
  <c r="Q313" i="33" s="1"/>
  <c r="L313" i="33"/>
  <c r="P313" i="33" s="1"/>
  <c r="H313" i="33"/>
  <c r="O312" i="33"/>
  <c r="N312" i="33"/>
  <c r="M312" i="33"/>
  <c r="L312" i="33"/>
  <c r="H312" i="33"/>
  <c r="O311" i="33"/>
  <c r="P311" i="33" s="1"/>
  <c r="N311" i="33"/>
  <c r="Q311" i="33" s="1"/>
  <c r="M311" i="33"/>
  <c r="L311" i="33"/>
  <c r="H311" i="33"/>
  <c r="H310" i="33"/>
  <c r="I310" i="33" s="1"/>
  <c r="G310" i="33"/>
  <c r="E309" i="33"/>
  <c r="G309" i="33" s="1"/>
  <c r="E308" i="33"/>
  <c r="G308" i="33" s="1"/>
  <c r="E307" i="33"/>
  <c r="C307" i="33"/>
  <c r="E306" i="33"/>
  <c r="C306" i="33"/>
  <c r="G306" i="33" s="1"/>
  <c r="E305" i="33"/>
  <c r="C305" i="33"/>
  <c r="E304" i="33"/>
  <c r="C304" i="33"/>
  <c r="E303" i="33"/>
  <c r="C303" i="33"/>
  <c r="E302" i="33"/>
  <c r="C302" i="33"/>
  <c r="G302" i="33" s="1"/>
  <c r="E301" i="33"/>
  <c r="C301" i="33"/>
  <c r="E300" i="33"/>
  <c r="C300" i="33"/>
  <c r="E299" i="33"/>
  <c r="C299" i="33"/>
  <c r="E298" i="33"/>
  <c r="C298" i="33"/>
  <c r="E297" i="33"/>
  <c r="C297" i="33"/>
  <c r="G297" i="33" s="1"/>
  <c r="E296" i="33"/>
  <c r="C296" i="33"/>
  <c r="E295" i="33"/>
  <c r="C295" i="33"/>
  <c r="E294" i="33"/>
  <c r="C294" i="33"/>
  <c r="G294" i="33" s="1"/>
  <c r="E293" i="33"/>
  <c r="C293" i="33"/>
  <c r="E292" i="33"/>
  <c r="C292" i="33"/>
  <c r="E291" i="33"/>
  <c r="C291" i="33"/>
  <c r="E290" i="33"/>
  <c r="C290" i="33"/>
  <c r="G290" i="33" s="1"/>
  <c r="H290" i="33" s="1"/>
  <c r="I290" i="33" s="1"/>
  <c r="E289" i="33"/>
  <c r="C289" i="33"/>
  <c r="E288" i="33"/>
  <c r="C288" i="33"/>
  <c r="E287" i="33"/>
  <c r="C287" i="33"/>
  <c r="E286" i="33"/>
  <c r="C286" i="33"/>
  <c r="E285" i="33"/>
  <c r="C285" i="33"/>
  <c r="G285" i="33" s="1"/>
  <c r="E284" i="33"/>
  <c r="C284" i="33"/>
  <c r="E283" i="33"/>
  <c r="C283" i="33"/>
  <c r="E282" i="33"/>
  <c r="C282" i="33"/>
  <c r="G282" i="33" s="1"/>
  <c r="E281" i="33"/>
  <c r="C281" i="33"/>
  <c r="E280" i="33"/>
  <c r="C280" i="33"/>
  <c r="E279" i="33"/>
  <c r="C279" i="33"/>
  <c r="E278" i="33"/>
  <c r="C278" i="33"/>
  <c r="G278" i="33" s="1"/>
  <c r="E277" i="33"/>
  <c r="C277" i="33"/>
  <c r="E276" i="33"/>
  <c r="C276" i="33"/>
  <c r="E275" i="33"/>
  <c r="C275" i="33"/>
  <c r="E274" i="33"/>
  <c r="C274" i="33"/>
  <c r="E273" i="33"/>
  <c r="C273" i="33"/>
  <c r="G273" i="33" s="1"/>
  <c r="H273" i="33" s="1"/>
  <c r="AA276" i="32" s="1"/>
  <c r="P278" i="28" s="1"/>
  <c r="E272" i="33"/>
  <c r="C272" i="33"/>
  <c r="G272" i="33" s="1"/>
  <c r="E271" i="33"/>
  <c r="C271" i="33"/>
  <c r="E270" i="33"/>
  <c r="C270" i="33"/>
  <c r="G270" i="33" s="1"/>
  <c r="E269" i="33"/>
  <c r="C269" i="33"/>
  <c r="E268" i="33"/>
  <c r="C268" i="33"/>
  <c r="C267" i="33"/>
  <c r="G267" i="33" s="1"/>
  <c r="H267" i="33" s="1"/>
  <c r="I267" i="33" s="1"/>
  <c r="E266" i="33"/>
  <c r="C266" i="33"/>
  <c r="E265" i="33"/>
  <c r="C265" i="33"/>
  <c r="G265" i="33" s="1"/>
  <c r="E264" i="33"/>
  <c r="C264" i="33"/>
  <c r="E263" i="33"/>
  <c r="C263" i="33"/>
  <c r="E262" i="33"/>
  <c r="C262" i="33"/>
  <c r="G262" i="33" s="1"/>
  <c r="E261" i="33"/>
  <c r="C261" i="33"/>
  <c r="E260" i="33"/>
  <c r="C260" i="33"/>
  <c r="E259" i="33"/>
  <c r="C259" i="33"/>
  <c r="E258" i="33"/>
  <c r="C258" i="33"/>
  <c r="E257" i="33"/>
  <c r="C257" i="33"/>
  <c r="E256" i="33"/>
  <c r="C256" i="33"/>
  <c r="E255" i="33"/>
  <c r="C255" i="33"/>
  <c r="G255" i="33" s="1"/>
  <c r="H255" i="33" s="1"/>
  <c r="E254" i="33"/>
  <c r="C254" i="33"/>
  <c r="G254" i="33" s="1"/>
  <c r="H254" i="33" s="1"/>
  <c r="AA257" i="32" s="1"/>
  <c r="P259" i="28" s="1"/>
  <c r="E253" i="33"/>
  <c r="C253" i="33"/>
  <c r="E252" i="33"/>
  <c r="C252" i="33"/>
  <c r="G252" i="33" s="1"/>
  <c r="H252" i="33" s="1"/>
  <c r="E251" i="33"/>
  <c r="C251" i="33"/>
  <c r="E250" i="33"/>
  <c r="C250" i="33"/>
  <c r="E249" i="33"/>
  <c r="C249" i="33"/>
  <c r="G249" i="33" s="1"/>
  <c r="E248" i="33"/>
  <c r="C248" i="33"/>
  <c r="E247" i="33"/>
  <c r="C247" i="33"/>
  <c r="E246" i="33"/>
  <c r="C246" i="33"/>
  <c r="E245" i="33"/>
  <c r="C245" i="33"/>
  <c r="E244" i="33"/>
  <c r="C244" i="33"/>
  <c r="E243" i="33"/>
  <c r="C243" i="33"/>
  <c r="G243" i="33" s="1"/>
  <c r="H243" i="33" s="1"/>
  <c r="E242" i="33"/>
  <c r="C242" i="33"/>
  <c r="E241" i="33"/>
  <c r="C241" i="33"/>
  <c r="E240" i="33"/>
  <c r="G240" i="33" s="1"/>
  <c r="C240" i="33"/>
  <c r="E239" i="33"/>
  <c r="C239" i="33"/>
  <c r="G239" i="33" s="1"/>
  <c r="E238" i="33"/>
  <c r="C238" i="33"/>
  <c r="E237" i="33"/>
  <c r="C237" i="33"/>
  <c r="E236" i="33"/>
  <c r="C236" i="33"/>
  <c r="G236" i="33" s="1"/>
  <c r="E235" i="33"/>
  <c r="C235" i="33"/>
  <c r="E234" i="33"/>
  <c r="C234" i="33"/>
  <c r="E233" i="33"/>
  <c r="C233" i="33"/>
  <c r="E232" i="33"/>
  <c r="C232" i="33"/>
  <c r="E231" i="33"/>
  <c r="C231" i="33"/>
  <c r="G231" i="33" s="1"/>
  <c r="H231" i="33" s="1"/>
  <c r="AA234" i="32" s="1"/>
  <c r="P236" i="28" s="1"/>
  <c r="E230" i="33"/>
  <c r="C230" i="33"/>
  <c r="E229" i="33"/>
  <c r="C229" i="33"/>
  <c r="G229" i="33" s="1"/>
  <c r="E228" i="33"/>
  <c r="C228" i="33"/>
  <c r="E227" i="33"/>
  <c r="C227" i="33"/>
  <c r="G227" i="33" s="1"/>
  <c r="E226" i="33"/>
  <c r="C226" i="33"/>
  <c r="G226" i="33" s="1"/>
  <c r="E225" i="33"/>
  <c r="C225" i="33"/>
  <c r="E224" i="33"/>
  <c r="C224" i="33"/>
  <c r="G224" i="33" s="1"/>
  <c r="E223" i="33"/>
  <c r="C223" i="33"/>
  <c r="G223" i="33" s="1"/>
  <c r="E222" i="33"/>
  <c r="C222" i="33"/>
  <c r="E221" i="33"/>
  <c r="C221" i="33"/>
  <c r="E220" i="33"/>
  <c r="C220" i="33"/>
  <c r="E219" i="33"/>
  <c r="C219" i="33"/>
  <c r="G219" i="33" s="1"/>
  <c r="H219" i="33" s="1"/>
  <c r="E218" i="33"/>
  <c r="C218" i="33"/>
  <c r="G218" i="33" s="1"/>
  <c r="E217" i="33"/>
  <c r="C217" i="33"/>
  <c r="E216" i="33"/>
  <c r="C216" i="33"/>
  <c r="E215" i="33"/>
  <c r="C215" i="33"/>
  <c r="E214" i="33"/>
  <c r="C214" i="33"/>
  <c r="C213" i="33"/>
  <c r="G213" i="33" s="1"/>
  <c r="E212" i="33"/>
  <c r="C212" i="33"/>
  <c r="G212" i="33" s="1"/>
  <c r="E211" i="33"/>
  <c r="C211" i="33"/>
  <c r="E210" i="33"/>
  <c r="C210" i="33"/>
  <c r="E209" i="33"/>
  <c r="C209" i="33"/>
  <c r="G209" i="33" s="1"/>
  <c r="H209" i="33" s="1"/>
  <c r="E208" i="33"/>
  <c r="C208" i="33"/>
  <c r="E207" i="33"/>
  <c r="C207" i="33"/>
  <c r="G207" i="33" s="1"/>
  <c r="E206" i="33"/>
  <c r="C206" i="33"/>
  <c r="E205" i="33"/>
  <c r="C205" i="33"/>
  <c r="G205" i="33" s="1"/>
  <c r="E204" i="33"/>
  <c r="C204" i="33"/>
  <c r="E203" i="33"/>
  <c r="C203" i="33"/>
  <c r="E202" i="33"/>
  <c r="C202" i="33"/>
  <c r="G202" i="33" s="1"/>
  <c r="E201" i="33"/>
  <c r="C201" i="33"/>
  <c r="E200" i="33"/>
  <c r="C200" i="33"/>
  <c r="G200" i="33" s="1"/>
  <c r="E199" i="33"/>
  <c r="C199" i="33"/>
  <c r="E198" i="33"/>
  <c r="C198" i="33"/>
  <c r="E197" i="33"/>
  <c r="C197" i="33"/>
  <c r="G197" i="33" s="1"/>
  <c r="H197" i="33" s="1"/>
  <c r="AA200" i="32" s="1"/>
  <c r="P202" i="28" s="1"/>
  <c r="E196" i="33"/>
  <c r="C196" i="33"/>
  <c r="E195" i="33"/>
  <c r="C195" i="33"/>
  <c r="G195" i="33" s="1"/>
  <c r="E194" i="33"/>
  <c r="C194" i="33"/>
  <c r="G194" i="33" s="1"/>
  <c r="H194" i="33" s="1"/>
  <c r="AA197" i="32" s="1"/>
  <c r="P199" i="28" s="1"/>
  <c r="E193" i="33"/>
  <c r="C193" i="33"/>
  <c r="E192" i="33"/>
  <c r="C192" i="33"/>
  <c r="E191" i="33"/>
  <c r="C191" i="33"/>
  <c r="E190" i="33"/>
  <c r="C190" i="33"/>
  <c r="G190" i="33" s="1"/>
  <c r="E189" i="33"/>
  <c r="C189" i="33"/>
  <c r="E188" i="33"/>
  <c r="C188" i="33"/>
  <c r="G188" i="33" s="1"/>
  <c r="E187" i="33"/>
  <c r="C187" i="33"/>
  <c r="E186" i="33"/>
  <c r="C186" i="33"/>
  <c r="E185" i="33"/>
  <c r="C185" i="33"/>
  <c r="G185" i="33" s="1"/>
  <c r="H185" i="33" s="1"/>
  <c r="AA187" i="32" s="1"/>
  <c r="P190" i="28" s="1"/>
  <c r="E184" i="33"/>
  <c r="C184" i="33"/>
  <c r="E183" i="33"/>
  <c r="C183" i="33"/>
  <c r="G183" i="33" s="1"/>
  <c r="E182" i="33"/>
  <c r="C182" i="33"/>
  <c r="G182" i="33" s="1"/>
  <c r="E181" i="33"/>
  <c r="C181" i="33"/>
  <c r="E180" i="33"/>
  <c r="C180" i="33"/>
  <c r="E179" i="33"/>
  <c r="C179" i="33"/>
  <c r="E178" i="33"/>
  <c r="C178" i="33"/>
  <c r="G178" i="33" s="1"/>
  <c r="E177" i="33"/>
  <c r="C177" i="33"/>
  <c r="E176" i="33"/>
  <c r="C176" i="33"/>
  <c r="G176" i="33" s="1"/>
  <c r="E175" i="33"/>
  <c r="C175" i="33"/>
  <c r="G175" i="33" s="1"/>
  <c r="E174" i="33"/>
  <c r="C174" i="33"/>
  <c r="E173" i="33"/>
  <c r="C173" i="33"/>
  <c r="G173" i="33" s="1"/>
  <c r="H173" i="33" s="1"/>
  <c r="AA175" i="32" s="1"/>
  <c r="P178" i="28" s="1"/>
  <c r="E172" i="33"/>
  <c r="C172" i="33"/>
  <c r="E171" i="33"/>
  <c r="C171" i="33"/>
  <c r="G171" i="33" s="1"/>
  <c r="H171" i="33" s="1"/>
  <c r="AA173" i="32" s="1"/>
  <c r="P176" i="28" s="1"/>
  <c r="E170" i="33"/>
  <c r="C170" i="33"/>
  <c r="G170" i="33" s="1"/>
  <c r="E169" i="33"/>
  <c r="C169" i="33"/>
  <c r="E168" i="33"/>
  <c r="C168" i="33"/>
  <c r="G168" i="33" s="1"/>
  <c r="H168" i="33" s="1"/>
  <c r="E167" i="33"/>
  <c r="C167" i="33"/>
  <c r="E166" i="33"/>
  <c r="C166" i="33"/>
  <c r="E165" i="33"/>
  <c r="C165" i="33"/>
  <c r="E164" i="33"/>
  <c r="C164" i="33"/>
  <c r="G164" i="33" s="1"/>
  <c r="E163" i="33"/>
  <c r="C163" i="33"/>
  <c r="E162" i="33"/>
  <c r="C162" i="33"/>
  <c r="E161" i="33"/>
  <c r="C161" i="33"/>
  <c r="G161" i="33" s="1"/>
  <c r="H161" i="33" s="1"/>
  <c r="AA164" i="32" s="1"/>
  <c r="P167" i="28" s="1"/>
  <c r="E160" i="33"/>
  <c r="C160" i="33"/>
  <c r="E159" i="33"/>
  <c r="C159" i="33"/>
  <c r="G159" i="33" s="1"/>
  <c r="E158" i="33"/>
  <c r="C158" i="33"/>
  <c r="G158" i="33" s="1"/>
  <c r="E157" i="33"/>
  <c r="C157" i="33"/>
  <c r="E156" i="33"/>
  <c r="C156" i="33"/>
  <c r="G156" i="33" s="1"/>
  <c r="H156" i="33" s="1"/>
  <c r="E155" i="33"/>
  <c r="C155" i="33"/>
  <c r="G155" i="33" s="1"/>
  <c r="E154" i="33"/>
  <c r="C154" i="33"/>
  <c r="G154" i="33" s="1"/>
  <c r="E153" i="33"/>
  <c r="C153" i="33"/>
  <c r="G153" i="33" s="1"/>
  <c r="E152" i="33"/>
  <c r="C152" i="33"/>
  <c r="E151" i="33"/>
  <c r="C151" i="33"/>
  <c r="G151" i="33" s="1"/>
  <c r="E150" i="33"/>
  <c r="C150" i="33"/>
  <c r="G150" i="33" s="1"/>
  <c r="E149" i="33"/>
  <c r="C149" i="33"/>
  <c r="G149" i="33" s="1"/>
  <c r="E148" i="33"/>
  <c r="C148" i="33"/>
  <c r="E147" i="33"/>
  <c r="C147" i="33"/>
  <c r="E146" i="33"/>
  <c r="C146" i="33"/>
  <c r="E145" i="33"/>
  <c r="C145" i="33"/>
  <c r="G145" i="33" s="1"/>
  <c r="H145" i="33" s="1"/>
  <c r="AA148" i="32" s="1"/>
  <c r="P150" i="28" s="1"/>
  <c r="E144" i="33"/>
  <c r="C144" i="33"/>
  <c r="G144" i="33" s="1"/>
  <c r="E143" i="33"/>
  <c r="C143" i="33"/>
  <c r="G143" i="33" s="1"/>
  <c r="E142" i="33"/>
  <c r="C142" i="33"/>
  <c r="E141" i="33"/>
  <c r="C141" i="33"/>
  <c r="G141" i="33" s="1"/>
  <c r="E140" i="33"/>
  <c r="C140" i="33"/>
  <c r="E139" i="33"/>
  <c r="C139" i="33"/>
  <c r="G139" i="33" s="1"/>
  <c r="E138" i="33"/>
  <c r="C138" i="33"/>
  <c r="E137" i="33"/>
  <c r="C137" i="33"/>
  <c r="G137" i="33" s="1"/>
  <c r="E136" i="33"/>
  <c r="C136" i="33"/>
  <c r="E135" i="33"/>
  <c r="C135" i="33"/>
  <c r="E134" i="33"/>
  <c r="C134" i="33"/>
  <c r="E133" i="33"/>
  <c r="C133" i="33"/>
  <c r="G133" i="33" s="1"/>
  <c r="H133" i="33" s="1"/>
  <c r="AA135" i="32" s="1"/>
  <c r="P138" i="28" s="1"/>
  <c r="E132" i="33"/>
  <c r="C132" i="33"/>
  <c r="G132" i="33" s="1"/>
  <c r="H132" i="33" s="1"/>
  <c r="E131" i="33"/>
  <c r="C131" i="33"/>
  <c r="G131" i="33" s="1"/>
  <c r="E130" i="33"/>
  <c r="C130" i="33"/>
  <c r="E129" i="33"/>
  <c r="C129" i="33"/>
  <c r="G129" i="33" s="1"/>
  <c r="E128" i="33"/>
  <c r="C128" i="33"/>
  <c r="E127" i="33"/>
  <c r="C127" i="33"/>
  <c r="E126" i="33"/>
  <c r="C126" i="33"/>
  <c r="G126" i="33" s="1"/>
  <c r="E125" i="33"/>
  <c r="C125" i="33"/>
  <c r="G125" i="33" s="1"/>
  <c r="E124" i="33"/>
  <c r="C124" i="33"/>
  <c r="E123" i="33"/>
  <c r="C123" i="33"/>
  <c r="E122" i="33"/>
  <c r="C122" i="33"/>
  <c r="E121" i="33"/>
  <c r="C121" i="33"/>
  <c r="E120" i="33"/>
  <c r="C120" i="33"/>
  <c r="G120" i="33" s="1"/>
  <c r="H120" i="33" s="1"/>
  <c r="E119" i="33"/>
  <c r="C119" i="33"/>
  <c r="E118" i="33"/>
  <c r="C118" i="33"/>
  <c r="E117" i="33"/>
  <c r="C117" i="33"/>
  <c r="G117" i="33" s="1"/>
  <c r="E116" i="33"/>
  <c r="C116" i="33"/>
  <c r="E115" i="33"/>
  <c r="C115" i="33"/>
  <c r="E114" i="33"/>
  <c r="C114" i="33"/>
  <c r="E113" i="33"/>
  <c r="C113" i="33"/>
  <c r="G113" i="33" s="1"/>
  <c r="E112" i="33"/>
  <c r="C112" i="33"/>
  <c r="E111" i="33"/>
  <c r="C111" i="33"/>
  <c r="E110" i="33"/>
  <c r="C110" i="33"/>
  <c r="E109" i="33"/>
  <c r="C109" i="33"/>
  <c r="G109" i="33" s="1"/>
  <c r="E108" i="33"/>
  <c r="C108" i="33"/>
  <c r="E107" i="33"/>
  <c r="C107" i="33"/>
  <c r="E106" i="33"/>
  <c r="C106" i="33"/>
  <c r="G106" i="33" s="1"/>
  <c r="C105" i="33"/>
  <c r="G105" i="33" s="1"/>
  <c r="E104" i="33"/>
  <c r="C104" i="33"/>
  <c r="G104" i="33" s="1"/>
  <c r="E103" i="33"/>
  <c r="C103" i="33"/>
  <c r="E102" i="33"/>
  <c r="C102" i="33"/>
  <c r="G102" i="33" s="1"/>
  <c r="E101" i="33"/>
  <c r="C101" i="33"/>
  <c r="E100" i="33"/>
  <c r="C100" i="33"/>
  <c r="G100" i="33" s="1"/>
  <c r="E99" i="33"/>
  <c r="C99" i="33"/>
  <c r="E98" i="33"/>
  <c r="C98" i="33"/>
  <c r="G98" i="33" s="1"/>
  <c r="E97" i="33"/>
  <c r="C97" i="33"/>
  <c r="E96" i="33"/>
  <c r="C96" i="33"/>
  <c r="E95" i="33"/>
  <c r="C95" i="33"/>
  <c r="G95" i="33" s="1"/>
  <c r="E94" i="33"/>
  <c r="C94" i="33"/>
  <c r="G94" i="33" s="1"/>
  <c r="E93" i="33"/>
  <c r="C93" i="33"/>
  <c r="G93" i="33" s="1"/>
  <c r="E92" i="33"/>
  <c r="C92" i="33"/>
  <c r="G92" i="33" s="1"/>
  <c r="E91" i="33"/>
  <c r="C91" i="33"/>
  <c r="E90" i="33"/>
  <c r="C90" i="33"/>
  <c r="G90" i="33" s="1"/>
  <c r="H90" i="33" s="1"/>
  <c r="AA92" i="32" s="1"/>
  <c r="P95" i="28" s="1"/>
  <c r="E89" i="33"/>
  <c r="C89" i="33"/>
  <c r="E88" i="33"/>
  <c r="C88" i="33"/>
  <c r="E87" i="33"/>
  <c r="C87" i="33"/>
  <c r="E86" i="33"/>
  <c r="C86" i="33"/>
  <c r="E85" i="33"/>
  <c r="C85" i="33"/>
  <c r="E84" i="33"/>
  <c r="C84" i="33"/>
  <c r="E83" i="33"/>
  <c r="C83" i="33"/>
  <c r="G83" i="33" s="1"/>
  <c r="H83" i="33" s="1"/>
  <c r="I83" i="33" s="1"/>
  <c r="E82" i="33"/>
  <c r="C82" i="33"/>
  <c r="G82" i="33" s="1"/>
  <c r="E81" i="33"/>
  <c r="C81" i="33"/>
  <c r="G81" i="33" s="1"/>
  <c r="E80" i="33"/>
  <c r="C80" i="33"/>
  <c r="G80" i="33" s="1"/>
  <c r="H80" i="33" s="1"/>
  <c r="AA82" i="32" s="1"/>
  <c r="P85" i="28" s="1"/>
  <c r="E79" i="33"/>
  <c r="C79" i="33"/>
  <c r="E78" i="33"/>
  <c r="C78" i="33"/>
  <c r="G78" i="33" s="1"/>
  <c r="H78" i="33" s="1"/>
  <c r="AA80" i="32" s="1"/>
  <c r="P83" i="28" s="1"/>
  <c r="E77" i="33"/>
  <c r="C77" i="33"/>
  <c r="E76" i="33"/>
  <c r="C76" i="33"/>
  <c r="E75" i="33"/>
  <c r="C75" i="33"/>
  <c r="E74" i="33"/>
  <c r="C74" i="33"/>
  <c r="E73" i="33"/>
  <c r="C73" i="33"/>
  <c r="E72" i="33"/>
  <c r="C72" i="33"/>
  <c r="E71" i="33"/>
  <c r="C71" i="33"/>
  <c r="G71" i="33" s="1"/>
  <c r="E70" i="33"/>
  <c r="C70" i="33"/>
  <c r="E69" i="33"/>
  <c r="C69" i="33"/>
  <c r="E68" i="33"/>
  <c r="C68" i="33"/>
  <c r="G68" i="33" s="1"/>
  <c r="H68" i="33" s="1"/>
  <c r="E67" i="33"/>
  <c r="C67" i="33"/>
  <c r="G67" i="33" s="1"/>
  <c r="E66" i="33"/>
  <c r="C66" i="33"/>
  <c r="G66" i="33" s="1"/>
  <c r="E65" i="33"/>
  <c r="C65" i="33"/>
  <c r="G65" i="33" s="1"/>
  <c r="E64" i="33"/>
  <c r="C64" i="33"/>
  <c r="G64" i="33" s="1"/>
  <c r="E63" i="33"/>
  <c r="C63" i="33"/>
  <c r="E62" i="33"/>
  <c r="C62" i="33"/>
  <c r="E61" i="33"/>
  <c r="C61" i="33"/>
  <c r="E60" i="33"/>
  <c r="C60" i="33"/>
  <c r="E59" i="33"/>
  <c r="C59" i="33"/>
  <c r="G59" i="33" s="1"/>
  <c r="H59" i="33" s="1"/>
  <c r="E58" i="33"/>
  <c r="C58" i="33"/>
  <c r="E57" i="33"/>
  <c r="C57" i="33"/>
  <c r="G57" i="33" s="1"/>
  <c r="H57" i="33" s="1"/>
  <c r="AA59" i="32" s="1"/>
  <c r="P62" i="28" s="1"/>
  <c r="E56" i="33"/>
  <c r="C56" i="33"/>
  <c r="G56" i="33" s="1"/>
  <c r="E55" i="33"/>
  <c r="C55" i="33"/>
  <c r="G55" i="33" s="1"/>
  <c r="E54" i="33"/>
  <c r="C54" i="33"/>
  <c r="E53" i="33"/>
  <c r="C53" i="33"/>
  <c r="E52" i="33"/>
  <c r="C52" i="33"/>
  <c r="G52" i="33" s="1"/>
  <c r="H52" i="33" s="1"/>
  <c r="E51" i="33"/>
  <c r="C51" i="33"/>
  <c r="G51" i="33" s="1"/>
  <c r="E50" i="33"/>
  <c r="C50" i="33"/>
  <c r="G50" i="33" s="1"/>
  <c r="E49" i="33"/>
  <c r="C49" i="33"/>
  <c r="G49" i="33" s="1"/>
  <c r="E48" i="33"/>
  <c r="C48" i="33"/>
  <c r="E47" i="33"/>
  <c r="C47" i="33"/>
  <c r="G47" i="33" s="1"/>
  <c r="H47" i="33" s="1"/>
  <c r="AA49" i="32" s="1"/>
  <c r="P52" i="28" s="1"/>
  <c r="E46" i="33"/>
  <c r="C46" i="33"/>
  <c r="G46" i="33" s="1"/>
  <c r="E45" i="33"/>
  <c r="C45" i="33"/>
  <c r="G45" i="33" s="1"/>
  <c r="E44" i="33"/>
  <c r="C44" i="33"/>
  <c r="G44" i="33" s="1"/>
  <c r="H44" i="33" s="1"/>
  <c r="E43" i="33"/>
  <c r="C43" i="33"/>
  <c r="E42" i="33"/>
  <c r="C42" i="33"/>
  <c r="G42" i="33" s="1"/>
  <c r="E41" i="33"/>
  <c r="C41" i="33"/>
  <c r="G41" i="33" s="1"/>
  <c r="H41" i="33" s="1"/>
  <c r="AA43" i="32" s="1"/>
  <c r="P46" i="28" s="1"/>
  <c r="E40" i="33"/>
  <c r="C40" i="33"/>
  <c r="E39" i="33"/>
  <c r="C39" i="33"/>
  <c r="E38" i="33"/>
  <c r="C38" i="33"/>
  <c r="G38" i="33" s="1"/>
  <c r="E37" i="33"/>
  <c r="C37" i="33"/>
  <c r="E36" i="33"/>
  <c r="C36" i="33"/>
  <c r="E35" i="33"/>
  <c r="C35" i="33"/>
  <c r="E34" i="33"/>
  <c r="C34" i="33"/>
  <c r="E33" i="33"/>
  <c r="C33" i="33"/>
  <c r="G33" i="33" s="1"/>
  <c r="E32" i="33"/>
  <c r="C32" i="33"/>
  <c r="E31" i="33"/>
  <c r="C31" i="33"/>
  <c r="E30" i="33"/>
  <c r="C30" i="33"/>
  <c r="E29" i="33"/>
  <c r="C29" i="33"/>
  <c r="E28" i="33"/>
  <c r="C28" i="33"/>
  <c r="G28" i="33" s="1"/>
  <c r="E27" i="33"/>
  <c r="C27" i="33"/>
  <c r="E26" i="33"/>
  <c r="C26" i="33"/>
  <c r="E25" i="33"/>
  <c r="C25" i="33"/>
  <c r="G25" i="33" s="1"/>
  <c r="E24" i="33"/>
  <c r="C24" i="33"/>
  <c r="E23" i="33"/>
  <c r="C23" i="33"/>
  <c r="E22" i="33"/>
  <c r="C22" i="33"/>
  <c r="E21" i="33"/>
  <c r="C21" i="33"/>
  <c r="G21" i="33" s="1"/>
  <c r="H21" i="33" s="1"/>
  <c r="AA23" i="32" s="1"/>
  <c r="P26" i="28" s="1"/>
  <c r="E20" i="33"/>
  <c r="C20" i="33"/>
  <c r="E19" i="33"/>
  <c r="C19" i="33"/>
  <c r="G19" i="33" s="1"/>
  <c r="E18" i="33"/>
  <c r="C18" i="33"/>
  <c r="G18" i="33" s="1"/>
  <c r="E17" i="33"/>
  <c r="C17" i="33"/>
  <c r="E16" i="33"/>
  <c r="C16" i="33"/>
  <c r="E15" i="33"/>
  <c r="C15" i="33"/>
  <c r="G15" i="33" s="1"/>
  <c r="E14" i="33"/>
  <c r="C14" i="33"/>
  <c r="G14" i="33" s="1"/>
  <c r="E13" i="33"/>
  <c r="C13" i="33"/>
  <c r="G13" i="33" s="1"/>
  <c r="E12" i="33"/>
  <c r="C12" i="33"/>
  <c r="E11" i="33"/>
  <c r="C11" i="33"/>
  <c r="G11" i="33" s="1"/>
  <c r="H11" i="33" s="1"/>
  <c r="AA14" i="32" s="1"/>
  <c r="P16" i="28" s="1"/>
  <c r="E10" i="33"/>
  <c r="C10" i="33"/>
  <c r="G10" i="33" s="1"/>
  <c r="E9" i="33"/>
  <c r="C9" i="33"/>
  <c r="E8" i="33"/>
  <c r="C8" i="33"/>
  <c r="E7" i="33"/>
  <c r="C7" i="33"/>
  <c r="G7" i="33" s="1"/>
  <c r="E6" i="33"/>
  <c r="C6" i="33"/>
  <c r="E5" i="33"/>
  <c r="C5" i="33"/>
  <c r="Y324" i="32"/>
  <c r="X324" i="32"/>
  <c r="V324" i="32"/>
  <c r="U324" i="32"/>
  <c r="T324" i="32"/>
  <c r="R324" i="32"/>
  <c r="Q324" i="32"/>
  <c r="P324" i="32"/>
  <c r="O324" i="32"/>
  <c r="M324" i="32"/>
  <c r="L324" i="32"/>
  <c r="K324" i="32"/>
  <c r="J324" i="32"/>
  <c r="I324" i="32"/>
  <c r="AF322" i="32"/>
  <c r="AA322" i="32"/>
  <c r="F322" i="32"/>
  <c r="E322" i="32"/>
  <c r="S324" i="29" s="1"/>
  <c r="E324" i="29" s="1"/>
  <c r="D322" i="32"/>
  <c r="C322" i="32"/>
  <c r="Q324" i="29" s="1"/>
  <c r="C324" i="29" s="1"/>
  <c r="AF321" i="32"/>
  <c r="AA321" i="32"/>
  <c r="P323" i="28" s="1"/>
  <c r="Q323" i="28" s="1"/>
  <c r="F321" i="32"/>
  <c r="T323" i="29" s="1"/>
  <c r="F323" i="29" s="1"/>
  <c r="E321" i="32"/>
  <c r="D321" i="32"/>
  <c r="C321" i="32"/>
  <c r="AF320" i="32"/>
  <c r="AA320" i="32"/>
  <c r="G320" i="32"/>
  <c r="F320" i="32"/>
  <c r="T322" i="29" s="1"/>
  <c r="F322" i="29" s="1"/>
  <c r="E320" i="32"/>
  <c r="D320" i="32"/>
  <c r="C320" i="32"/>
  <c r="Q322" i="29" s="1"/>
  <c r="C322" i="29" s="1"/>
  <c r="AF319" i="32"/>
  <c r="G319" i="32"/>
  <c r="F319" i="32"/>
  <c r="E319" i="32"/>
  <c r="D319" i="32"/>
  <c r="C319" i="32"/>
  <c r="AF318" i="32"/>
  <c r="AA318" i="32"/>
  <c r="F318" i="32"/>
  <c r="T320" i="29" s="1"/>
  <c r="F320" i="29" s="1"/>
  <c r="E318" i="32"/>
  <c r="D318" i="32"/>
  <c r="C318" i="32"/>
  <c r="Q320" i="29" s="1"/>
  <c r="C320" i="29" s="1"/>
  <c r="AF317" i="32"/>
  <c r="AA317" i="32"/>
  <c r="P319" i="28" s="1"/>
  <c r="Q319" i="28" s="1"/>
  <c r="F317" i="32"/>
  <c r="E317" i="32"/>
  <c r="D317" i="32"/>
  <c r="C317" i="32"/>
  <c r="AF316" i="32"/>
  <c r="AA316" i="32"/>
  <c r="G316" i="32"/>
  <c r="U318" i="29" s="1"/>
  <c r="G318" i="29" s="1"/>
  <c r="F316" i="32"/>
  <c r="E316" i="32"/>
  <c r="D316" i="32"/>
  <c r="R318" i="29" s="1"/>
  <c r="D318" i="29" s="1"/>
  <c r="C316" i="32"/>
  <c r="Q318" i="29" s="1"/>
  <c r="C318" i="29" s="1"/>
  <c r="AF315" i="32"/>
  <c r="AA315" i="32"/>
  <c r="F315" i="32"/>
  <c r="E315" i="32"/>
  <c r="D315" i="32"/>
  <c r="R317" i="29" s="1"/>
  <c r="D317" i="29" s="1"/>
  <c r="C315" i="32"/>
  <c r="AF314" i="32"/>
  <c r="AA314" i="32"/>
  <c r="P316" i="28" s="1"/>
  <c r="Q316" i="28" s="1"/>
  <c r="G314" i="32"/>
  <c r="F314" i="32"/>
  <c r="T316" i="29" s="1"/>
  <c r="F316" i="29" s="1"/>
  <c r="E314" i="32"/>
  <c r="D314" i="32"/>
  <c r="R316" i="29" s="1"/>
  <c r="D316" i="29" s="1"/>
  <c r="C314" i="32"/>
  <c r="Q316" i="29" s="1"/>
  <c r="C316" i="29" s="1"/>
  <c r="AF313" i="32"/>
  <c r="AA313" i="32"/>
  <c r="AF312" i="32"/>
  <c r="AF311" i="32"/>
  <c r="AA270" i="32"/>
  <c r="AA212" i="32"/>
  <c r="K323" i="31"/>
  <c r="K310" i="31"/>
  <c r="E310" i="31"/>
  <c r="D310" i="31"/>
  <c r="C310" i="31"/>
  <c r="K309" i="31"/>
  <c r="E309" i="31"/>
  <c r="D309" i="31"/>
  <c r="C309" i="31"/>
  <c r="K308" i="31"/>
  <c r="E308" i="31"/>
  <c r="D308" i="31"/>
  <c r="C308" i="31"/>
  <c r="K307" i="31"/>
  <c r="E307" i="31"/>
  <c r="D307" i="31"/>
  <c r="C307" i="31"/>
  <c r="K306" i="31"/>
  <c r="E306" i="31"/>
  <c r="D306" i="31"/>
  <c r="C306" i="31"/>
  <c r="K305" i="31"/>
  <c r="E305" i="31"/>
  <c r="D305" i="31"/>
  <c r="C305" i="31"/>
  <c r="K304" i="31"/>
  <c r="E304" i="31"/>
  <c r="D304" i="31"/>
  <c r="C304" i="31"/>
  <c r="K303" i="31"/>
  <c r="E303" i="31"/>
  <c r="D303" i="31"/>
  <c r="C303" i="31"/>
  <c r="K302" i="31"/>
  <c r="E302" i="31"/>
  <c r="D302" i="31"/>
  <c r="C302" i="31"/>
  <c r="K301" i="31"/>
  <c r="E301" i="31"/>
  <c r="D301" i="31"/>
  <c r="C301" i="31"/>
  <c r="K300" i="31"/>
  <c r="E300" i="31"/>
  <c r="D300" i="31"/>
  <c r="C300" i="31"/>
  <c r="K299" i="31"/>
  <c r="E299" i="31"/>
  <c r="D299" i="31"/>
  <c r="C299" i="31"/>
  <c r="K298" i="31"/>
  <c r="E298" i="31"/>
  <c r="D298" i="31"/>
  <c r="C298" i="31"/>
  <c r="K297" i="31"/>
  <c r="E297" i="31"/>
  <c r="D297" i="31"/>
  <c r="C297" i="31"/>
  <c r="K296" i="31"/>
  <c r="E296" i="31"/>
  <c r="D296" i="31"/>
  <c r="C296" i="31"/>
  <c r="K295" i="31"/>
  <c r="E295" i="31"/>
  <c r="D295" i="31"/>
  <c r="C295" i="31"/>
  <c r="K294" i="31"/>
  <c r="E294" i="31"/>
  <c r="D294" i="31"/>
  <c r="C294" i="31"/>
  <c r="K293" i="31"/>
  <c r="E293" i="31"/>
  <c r="D293" i="31"/>
  <c r="C293" i="31"/>
  <c r="K292" i="31"/>
  <c r="E292" i="31"/>
  <c r="D292" i="31"/>
  <c r="C292" i="31"/>
  <c r="K291" i="31"/>
  <c r="E291" i="31"/>
  <c r="D291" i="31"/>
  <c r="C291" i="31"/>
  <c r="K290" i="31"/>
  <c r="E290" i="31"/>
  <c r="D290" i="31"/>
  <c r="C290" i="31"/>
  <c r="K289" i="31"/>
  <c r="E289" i="31"/>
  <c r="D289" i="31"/>
  <c r="C289" i="31"/>
  <c r="K288" i="31"/>
  <c r="E288" i="31"/>
  <c r="D288" i="31"/>
  <c r="C288" i="31"/>
  <c r="K287" i="31"/>
  <c r="E287" i="31"/>
  <c r="D287" i="31"/>
  <c r="C287" i="31"/>
  <c r="K286" i="31"/>
  <c r="E286" i="31"/>
  <c r="D286" i="31"/>
  <c r="C286" i="31"/>
  <c r="K285" i="31"/>
  <c r="E285" i="31"/>
  <c r="D285" i="31"/>
  <c r="C285" i="31"/>
  <c r="K284" i="31"/>
  <c r="E284" i="31"/>
  <c r="D284" i="31"/>
  <c r="C284" i="31"/>
  <c r="K283" i="31"/>
  <c r="E283" i="31"/>
  <c r="D283" i="31"/>
  <c r="C283" i="31"/>
  <c r="K282" i="31"/>
  <c r="E282" i="31"/>
  <c r="D282" i="31"/>
  <c r="C282" i="31"/>
  <c r="K281" i="31"/>
  <c r="E281" i="31"/>
  <c r="D281" i="31"/>
  <c r="C281" i="31"/>
  <c r="K280" i="31"/>
  <c r="E280" i="31"/>
  <c r="D280" i="31"/>
  <c r="C280" i="31"/>
  <c r="K279" i="31"/>
  <c r="E279" i="31"/>
  <c r="D279" i="31"/>
  <c r="C279" i="31"/>
  <c r="K278" i="31"/>
  <c r="E278" i="31"/>
  <c r="D278" i="31"/>
  <c r="C278" i="31"/>
  <c r="K277" i="31"/>
  <c r="E277" i="31"/>
  <c r="D277" i="31"/>
  <c r="C277" i="31"/>
  <c r="K276" i="31"/>
  <c r="E276" i="31"/>
  <c r="D276" i="31"/>
  <c r="C276" i="31"/>
  <c r="K275" i="31"/>
  <c r="E275" i="31"/>
  <c r="D275" i="31"/>
  <c r="C275" i="31"/>
  <c r="K274" i="31"/>
  <c r="E274" i="31"/>
  <c r="D274" i="31"/>
  <c r="C274" i="31"/>
  <c r="K273" i="31"/>
  <c r="E273" i="31"/>
  <c r="D273" i="31"/>
  <c r="C273" i="31"/>
  <c r="K272" i="31"/>
  <c r="E272" i="31"/>
  <c r="D272" i="31"/>
  <c r="C272" i="31"/>
  <c r="K271" i="31"/>
  <c r="E271" i="31"/>
  <c r="D271" i="31"/>
  <c r="C271" i="31"/>
  <c r="K270" i="31"/>
  <c r="E270" i="31"/>
  <c r="D270" i="31"/>
  <c r="C270" i="31"/>
  <c r="K269" i="31"/>
  <c r="E269" i="31"/>
  <c r="D269" i="31"/>
  <c r="C269" i="31"/>
  <c r="K268" i="31"/>
  <c r="E268" i="31"/>
  <c r="D268" i="31"/>
  <c r="C268" i="31"/>
  <c r="K267" i="31"/>
  <c r="E267" i="31"/>
  <c r="D267" i="31"/>
  <c r="C267" i="31"/>
  <c r="K266" i="31"/>
  <c r="E266" i="31"/>
  <c r="D266" i="31"/>
  <c r="C266" i="31"/>
  <c r="K265" i="31"/>
  <c r="E265" i="31"/>
  <c r="D265" i="31"/>
  <c r="C265" i="31"/>
  <c r="K264" i="31"/>
  <c r="E264" i="31"/>
  <c r="D264" i="31"/>
  <c r="C264" i="31"/>
  <c r="K263" i="31"/>
  <c r="E263" i="31"/>
  <c r="D263" i="31"/>
  <c r="C263" i="31"/>
  <c r="K262" i="31"/>
  <c r="E262" i="31"/>
  <c r="D262" i="31"/>
  <c r="C262" i="31"/>
  <c r="K261" i="31"/>
  <c r="E261" i="31"/>
  <c r="D261" i="31"/>
  <c r="C261" i="31"/>
  <c r="K260" i="31"/>
  <c r="E260" i="31"/>
  <c r="D260" i="31"/>
  <c r="C260" i="31"/>
  <c r="K259" i="31"/>
  <c r="E259" i="31"/>
  <c r="D259" i="31"/>
  <c r="C259" i="31"/>
  <c r="K258" i="31"/>
  <c r="E258" i="31"/>
  <c r="D258" i="31"/>
  <c r="C258" i="31"/>
  <c r="K257" i="31"/>
  <c r="E257" i="31"/>
  <c r="D257" i="31"/>
  <c r="C257" i="31"/>
  <c r="K256" i="31"/>
  <c r="E256" i="31"/>
  <c r="D256" i="31"/>
  <c r="C256" i="31"/>
  <c r="K255" i="31"/>
  <c r="E255" i="31"/>
  <c r="D255" i="31"/>
  <c r="C255" i="31"/>
  <c r="K254" i="31"/>
  <c r="E254" i="31"/>
  <c r="D254" i="31"/>
  <c r="C254" i="31"/>
  <c r="K253" i="31"/>
  <c r="E253" i="31"/>
  <c r="D253" i="31"/>
  <c r="C253" i="31"/>
  <c r="K252" i="31"/>
  <c r="E252" i="31"/>
  <c r="D252" i="31"/>
  <c r="C252" i="31"/>
  <c r="K251" i="31"/>
  <c r="E251" i="31"/>
  <c r="D251" i="31"/>
  <c r="C251" i="31"/>
  <c r="K250" i="31"/>
  <c r="E250" i="31"/>
  <c r="D250" i="31"/>
  <c r="C250" i="31"/>
  <c r="K249" i="31"/>
  <c r="E249" i="31"/>
  <c r="D249" i="31"/>
  <c r="C249" i="31"/>
  <c r="K248" i="31"/>
  <c r="E248" i="31"/>
  <c r="D248" i="31"/>
  <c r="C248" i="31"/>
  <c r="K247" i="31"/>
  <c r="E247" i="31"/>
  <c r="D247" i="31"/>
  <c r="C247" i="31"/>
  <c r="K246" i="31"/>
  <c r="E246" i="31"/>
  <c r="D246" i="31"/>
  <c r="C246" i="31"/>
  <c r="K245" i="31"/>
  <c r="E245" i="31"/>
  <c r="D245" i="31"/>
  <c r="C245" i="31"/>
  <c r="K244" i="31"/>
  <c r="E244" i="31"/>
  <c r="D244" i="31"/>
  <c r="C244" i="31"/>
  <c r="K243" i="31"/>
  <c r="E243" i="31"/>
  <c r="D243" i="31"/>
  <c r="C243" i="31"/>
  <c r="K242" i="31"/>
  <c r="E242" i="31"/>
  <c r="D242" i="31"/>
  <c r="C242" i="31"/>
  <c r="K241" i="31"/>
  <c r="E241" i="31"/>
  <c r="D241" i="31"/>
  <c r="C241" i="31"/>
  <c r="K240" i="31"/>
  <c r="E240" i="31"/>
  <c r="D240" i="31"/>
  <c r="C240" i="31"/>
  <c r="K239" i="31"/>
  <c r="E239" i="31"/>
  <c r="D239" i="31"/>
  <c r="C239" i="31"/>
  <c r="K238" i="31"/>
  <c r="E238" i="31"/>
  <c r="D238" i="31"/>
  <c r="C238" i="31"/>
  <c r="K237" i="31"/>
  <c r="E237" i="31"/>
  <c r="D237" i="31"/>
  <c r="C237" i="31"/>
  <c r="K236" i="31"/>
  <c r="E236" i="31"/>
  <c r="D236" i="31"/>
  <c r="C236" i="31"/>
  <c r="K235" i="31"/>
  <c r="E235" i="31"/>
  <c r="D235" i="31"/>
  <c r="C235" i="31"/>
  <c r="K234" i="31"/>
  <c r="E234" i="31"/>
  <c r="D234" i="31"/>
  <c r="C234" i="31"/>
  <c r="K233" i="31"/>
  <c r="E233" i="31"/>
  <c r="D233" i="31"/>
  <c r="C233" i="31"/>
  <c r="K232" i="31"/>
  <c r="E232" i="31"/>
  <c r="D232" i="31"/>
  <c r="C232" i="31"/>
  <c r="K231" i="31"/>
  <c r="E231" i="31"/>
  <c r="D231" i="31"/>
  <c r="C231" i="31"/>
  <c r="K230" i="31"/>
  <c r="E230" i="31"/>
  <c r="D230" i="31"/>
  <c r="C230" i="31"/>
  <c r="K229" i="31"/>
  <c r="E229" i="31"/>
  <c r="D229" i="31"/>
  <c r="C229" i="31"/>
  <c r="K228" i="31"/>
  <c r="E228" i="31"/>
  <c r="D228" i="31"/>
  <c r="C228" i="31"/>
  <c r="K227" i="31"/>
  <c r="E227" i="31"/>
  <c r="D227" i="31"/>
  <c r="C227" i="31"/>
  <c r="K226" i="31"/>
  <c r="E226" i="31"/>
  <c r="D226" i="31"/>
  <c r="C226" i="31"/>
  <c r="K225" i="31"/>
  <c r="E225" i="31"/>
  <c r="D225" i="31"/>
  <c r="C225" i="31"/>
  <c r="K224" i="31"/>
  <c r="E224" i="31"/>
  <c r="D224" i="31"/>
  <c r="C224" i="31"/>
  <c r="K223" i="31"/>
  <c r="E223" i="31"/>
  <c r="D223" i="31"/>
  <c r="C223" i="31"/>
  <c r="K222" i="31"/>
  <c r="E222" i="31"/>
  <c r="D222" i="31"/>
  <c r="C222" i="31"/>
  <c r="K221" i="31"/>
  <c r="E221" i="31"/>
  <c r="D221" i="31"/>
  <c r="C221" i="31"/>
  <c r="K220" i="31"/>
  <c r="E220" i="31"/>
  <c r="D220" i="31"/>
  <c r="C220" i="31"/>
  <c r="K219" i="31"/>
  <c r="E219" i="31"/>
  <c r="D219" i="31"/>
  <c r="C219" i="31"/>
  <c r="K218" i="31"/>
  <c r="E218" i="31"/>
  <c r="D218" i="31"/>
  <c r="C218" i="31"/>
  <c r="K217" i="31"/>
  <c r="E217" i="31"/>
  <c r="D217" i="31"/>
  <c r="C217" i="31"/>
  <c r="K216" i="31"/>
  <c r="E216" i="31"/>
  <c r="D216" i="31"/>
  <c r="C216" i="31"/>
  <c r="K215" i="31"/>
  <c r="E215" i="31"/>
  <c r="D215" i="31"/>
  <c r="C215" i="31"/>
  <c r="K214" i="31"/>
  <c r="E214" i="31"/>
  <c r="D214" i="31"/>
  <c r="C214" i="31"/>
  <c r="K213" i="31"/>
  <c r="E213" i="31"/>
  <c r="D213" i="31"/>
  <c r="C213" i="31"/>
  <c r="K212" i="31"/>
  <c r="E212" i="31"/>
  <c r="D212" i="31"/>
  <c r="C212" i="31"/>
  <c r="K211" i="31"/>
  <c r="E211" i="31"/>
  <c r="D211" i="31"/>
  <c r="C211" i="31"/>
  <c r="K210" i="31"/>
  <c r="E210" i="31"/>
  <c r="D210" i="31"/>
  <c r="C210" i="31"/>
  <c r="K209" i="31"/>
  <c r="E209" i="31"/>
  <c r="D209" i="31"/>
  <c r="C209" i="31"/>
  <c r="K208" i="31"/>
  <c r="E208" i="31"/>
  <c r="D208" i="31"/>
  <c r="C208" i="31"/>
  <c r="K207" i="31"/>
  <c r="E207" i="31"/>
  <c r="D207" i="31"/>
  <c r="C207" i="31"/>
  <c r="K206" i="31"/>
  <c r="E206" i="31"/>
  <c r="D206" i="31"/>
  <c r="C206" i="31"/>
  <c r="K205" i="31"/>
  <c r="E205" i="31"/>
  <c r="D205" i="31"/>
  <c r="C205" i="31"/>
  <c r="K204" i="31"/>
  <c r="E204" i="31"/>
  <c r="D204" i="31"/>
  <c r="C204" i="31"/>
  <c r="K203" i="31"/>
  <c r="E203" i="31"/>
  <c r="D203" i="31"/>
  <c r="C203" i="31"/>
  <c r="K202" i="31"/>
  <c r="E202" i="31"/>
  <c r="D202" i="31"/>
  <c r="C202" i="31"/>
  <c r="K201" i="31"/>
  <c r="E201" i="31"/>
  <c r="D201" i="31"/>
  <c r="C201" i="31"/>
  <c r="K200" i="31"/>
  <c r="E200" i="31"/>
  <c r="D200" i="31"/>
  <c r="C200" i="31"/>
  <c r="K199" i="31"/>
  <c r="E199" i="31"/>
  <c r="D199" i="31"/>
  <c r="C199" i="31"/>
  <c r="K198" i="31"/>
  <c r="E198" i="31"/>
  <c r="D198" i="31"/>
  <c r="C198" i="31"/>
  <c r="K197" i="31"/>
  <c r="E197" i="31"/>
  <c r="D197" i="31"/>
  <c r="C197" i="31"/>
  <c r="K196" i="31"/>
  <c r="E196" i="31"/>
  <c r="D196" i="31"/>
  <c r="C196" i="31"/>
  <c r="K195" i="31"/>
  <c r="E195" i="31"/>
  <c r="D195" i="31"/>
  <c r="C195" i="31"/>
  <c r="K194" i="31"/>
  <c r="E194" i="31"/>
  <c r="D194" i="31"/>
  <c r="C194" i="31"/>
  <c r="K193" i="31"/>
  <c r="E193" i="31"/>
  <c r="D193" i="31"/>
  <c r="C193" i="31"/>
  <c r="K192" i="31"/>
  <c r="E192" i="31"/>
  <c r="D192" i="31"/>
  <c r="C192" i="31"/>
  <c r="K191" i="31"/>
  <c r="E191" i="31"/>
  <c r="D191" i="31"/>
  <c r="C191" i="31"/>
  <c r="K190" i="31"/>
  <c r="E190" i="31"/>
  <c r="D190" i="31"/>
  <c r="C190" i="31"/>
  <c r="K189" i="31"/>
  <c r="E189" i="31"/>
  <c r="D189" i="31"/>
  <c r="C189" i="31"/>
  <c r="K188" i="31"/>
  <c r="E188" i="31"/>
  <c r="D188" i="31"/>
  <c r="C188" i="31"/>
  <c r="K187" i="31"/>
  <c r="E187" i="31"/>
  <c r="D187" i="31"/>
  <c r="C187" i="31"/>
  <c r="K186" i="31"/>
  <c r="E186" i="31"/>
  <c r="D186" i="31"/>
  <c r="C186" i="31"/>
  <c r="K185" i="31"/>
  <c r="E185" i="31"/>
  <c r="D185" i="31"/>
  <c r="C185" i="31"/>
  <c r="K184" i="31"/>
  <c r="E184" i="31"/>
  <c r="D184" i="31"/>
  <c r="C184" i="31"/>
  <c r="K183" i="31"/>
  <c r="E183" i="31"/>
  <c r="D183" i="31"/>
  <c r="C183" i="31"/>
  <c r="K182" i="31"/>
  <c r="E182" i="31"/>
  <c r="D182" i="31"/>
  <c r="C182" i="31"/>
  <c r="K181" i="31"/>
  <c r="E181" i="31"/>
  <c r="D181" i="31"/>
  <c r="C181" i="31"/>
  <c r="K180" i="31"/>
  <c r="E180" i="31"/>
  <c r="D180" i="31"/>
  <c r="C180" i="31"/>
  <c r="K179" i="31"/>
  <c r="E179" i="31"/>
  <c r="D179" i="31"/>
  <c r="C179" i="31"/>
  <c r="K178" i="31"/>
  <c r="E178" i="31"/>
  <c r="D178" i="31"/>
  <c r="C178" i="31"/>
  <c r="K177" i="31"/>
  <c r="E177" i="31"/>
  <c r="D177" i="31"/>
  <c r="C177" i="31"/>
  <c r="K176" i="31"/>
  <c r="E176" i="31"/>
  <c r="D176" i="31"/>
  <c r="C176" i="31"/>
  <c r="K175" i="31"/>
  <c r="E175" i="31"/>
  <c r="D175" i="31"/>
  <c r="C175" i="31"/>
  <c r="K174" i="31"/>
  <c r="E174" i="31"/>
  <c r="D174" i="31"/>
  <c r="C174" i="31"/>
  <c r="K173" i="31"/>
  <c r="E173" i="31"/>
  <c r="D173" i="31"/>
  <c r="C173" i="31"/>
  <c r="K172" i="31"/>
  <c r="E172" i="31"/>
  <c r="D172" i="31"/>
  <c r="C172" i="31"/>
  <c r="K171" i="31"/>
  <c r="E171" i="31"/>
  <c r="D171" i="31"/>
  <c r="C171" i="31"/>
  <c r="K170" i="31"/>
  <c r="E170" i="31"/>
  <c r="D170" i="31"/>
  <c r="C170" i="31"/>
  <c r="K169" i="31"/>
  <c r="E169" i="31"/>
  <c r="D169" i="31"/>
  <c r="C169" i="31"/>
  <c r="K168" i="31"/>
  <c r="E168" i="31"/>
  <c r="D168" i="31"/>
  <c r="C168" i="31"/>
  <c r="K167" i="31"/>
  <c r="E167" i="31"/>
  <c r="D167" i="31"/>
  <c r="C167" i="31"/>
  <c r="K166" i="31"/>
  <c r="E166" i="31"/>
  <c r="D166" i="31"/>
  <c r="C166" i="31"/>
  <c r="K165" i="31"/>
  <c r="E165" i="31"/>
  <c r="D165" i="31"/>
  <c r="C165" i="31"/>
  <c r="K164" i="31"/>
  <c r="E164" i="31"/>
  <c r="D164" i="31"/>
  <c r="C164" i="31"/>
  <c r="K163" i="31"/>
  <c r="E163" i="31"/>
  <c r="D163" i="31"/>
  <c r="C163" i="31"/>
  <c r="K162" i="31"/>
  <c r="E162" i="31"/>
  <c r="D162" i="31"/>
  <c r="C162" i="31"/>
  <c r="K161" i="31"/>
  <c r="E161" i="31"/>
  <c r="D161" i="31"/>
  <c r="C161" i="31"/>
  <c r="K160" i="31"/>
  <c r="E160" i="31"/>
  <c r="D160" i="31"/>
  <c r="C160" i="31"/>
  <c r="K159" i="31"/>
  <c r="E159" i="31"/>
  <c r="D159" i="31"/>
  <c r="C159" i="31"/>
  <c r="K158" i="31"/>
  <c r="E158" i="31"/>
  <c r="D158" i="31"/>
  <c r="C158" i="31"/>
  <c r="K157" i="31"/>
  <c r="E157" i="31"/>
  <c r="D157" i="31"/>
  <c r="C157" i="31"/>
  <c r="K156" i="31"/>
  <c r="E156" i="31"/>
  <c r="D156" i="31"/>
  <c r="C156" i="31"/>
  <c r="K155" i="31"/>
  <c r="E155" i="31"/>
  <c r="D155" i="31"/>
  <c r="C155" i="31"/>
  <c r="K154" i="31"/>
  <c r="E154" i="31"/>
  <c r="D154" i="31"/>
  <c r="C154" i="31"/>
  <c r="K153" i="31"/>
  <c r="E153" i="31"/>
  <c r="D153" i="31"/>
  <c r="C153" i="31"/>
  <c r="K152" i="31"/>
  <c r="E152" i="31"/>
  <c r="D152" i="31"/>
  <c r="C152" i="31"/>
  <c r="K151" i="31"/>
  <c r="E151" i="31"/>
  <c r="D151" i="31"/>
  <c r="C151" i="31"/>
  <c r="K150" i="31"/>
  <c r="E150" i="31"/>
  <c r="D150" i="31"/>
  <c r="C150" i="31"/>
  <c r="K149" i="31"/>
  <c r="E149" i="31"/>
  <c r="D149" i="31"/>
  <c r="C149" i="31"/>
  <c r="K148" i="31"/>
  <c r="E148" i="31"/>
  <c r="D148" i="31"/>
  <c r="C148" i="31"/>
  <c r="K147" i="31"/>
  <c r="E147" i="31"/>
  <c r="D147" i="31"/>
  <c r="C147" i="31"/>
  <c r="K146" i="31"/>
  <c r="E146" i="31"/>
  <c r="D146" i="31"/>
  <c r="C146" i="31"/>
  <c r="K145" i="31"/>
  <c r="E145" i="31"/>
  <c r="D145" i="31"/>
  <c r="C145" i="31"/>
  <c r="K144" i="31"/>
  <c r="E144" i="31"/>
  <c r="D144" i="31"/>
  <c r="C144" i="31"/>
  <c r="K143" i="31"/>
  <c r="E143" i="31"/>
  <c r="D143" i="31"/>
  <c r="C143" i="31"/>
  <c r="K142" i="31"/>
  <c r="E142" i="31"/>
  <c r="D142" i="31"/>
  <c r="C142" i="31"/>
  <c r="K141" i="31"/>
  <c r="E141" i="31"/>
  <c r="D141" i="31"/>
  <c r="C141" i="31"/>
  <c r="K140" i="31"/>
  <c r="E140" i="31"/>
  <c r="D140" i="31"/>
  <c r="C140" i="31"/>
  <c r="K139" i="31"/>
  <c r="E139" i="31"/>
  <c r="D139" i="31"/>
  <c r="C139" i="31"/>
  <c r="K138" i="31"/>
  <c r="E138" i="31"/>
  <c r="D138" i="31"/>
  <c r="C138" i="31"/>
  <c r="K137" i="31"/>
  <c r="E137" i="31"/>
  <c r="D137" i="31"/>
  <c r="C137" i="31"/>
  <c r="K136" i="31"/>
  <c r="E136" i="31"/>
  <c r="D136" i="31"/>
  <c r="C136" i="31"/>
  <c r="K135" i="31"/>
  <c r="E135" i="31"/>
  <c r="D135" i="31"/>
  <c r="C135" i="31"/>
  <c r="K134" i="31"/>
  <c r="E134" i="31"/>
  <c r="D134" i="31"/>
  <c r="C134" i="31"/>
  <c r="K133" i="31"/>
  <c r="E133" i="31"/>
  <c r="D133" i="31"/>
  <c r="C133" i="31"/>
  <c r="K132" i="31"/>
  <c r="E132" i="31"/>
  <c r="D132" i="31"/>
  <c r="C132" i="31"/>
  <c r="K131" i="31"/>
  <c r="E131" i="31"/>
  <c r="D131" i="31"/>
  <c r="C131" i="31"/>
  <c r="K130" i="31"/>
  <c r="E130" i="31"/>
  <c r="D130" i="31"/>
  <c r="C130" i="31"/>
  <c r="K129" i="31"/>
  <c r="E129" i="31"/>
  <c r="D129" i="31"/>
  <c r="C129" i="31"/>
  <c r="K128" i="31"/>
  <c r="E128" i="31"/>
  <c r="D128" i="31"/>
  <c r="C128" i="31"/>
  <c r="K127" i="31"/>
  <c r="E127" i="31"/>
  <c r="D127" i="31"/>
  <c r="C127" i="31"/>
  <c r="K126" i="31"/>
  <c r="E126" i="31"/>
  <c r="D126" i="31"/>
  <c r="C126" i="31"/>
  <c r="K125" i="31"/>
  <c r="E125" i="31"/>
  <c r="D125" i="31"/>
  <c r="C125" i="31"/>
  <c r="K124" i="31"/>
  <c r="E124" i="31"/>
  <c r="D124" i="31"/>
  <c r="C124" i="31"/>
  <c r="K123" i="31"/>
  <c r="E123" i="31"/>
  <c r="D123" i="31"/>
  <c r="C123" i="31"/>
  <c r="K122" i="31"/>
  <c r="E122" i="31"/>
  <c r="D122" i="31"/>
  <c r="C122" i="31"/>
  <c r="K121" i="31"/>
  <c r="E121" i="31"/>
  <c r="D121" i="31"/>
  <c r="C121" i="31"/>
  <c r="K120" i="31"/>
  <c r="E120" i="31"/>
  <c r="D120" i="31"/>
  <c r="C120" i="31"/>
  <c r="K119" i="31"/>
  <c r="E119" i="31"/>
  <c r="D119" i="31"/>
  <c r="C119" i="31"/>
  <c r="K118" i="31"/>
  <c r="E118" i="31"/>
  <c r="D118" i="31"/>
  <c r="C118" i="31"/>
  <c r="K117" i="31"/>
  <c r="E117" i="31"/>
  <c r="D117" i="31"/>
  <c r="C117" i="31"/>
  <c r="K116" i="31"/>
  <c r="E116" i="31"/>
  <c r="D116" i="31"/>
  <c r="C116" i="31"/>
  <c r="K115" i="31"/>
  <c r="E115" i="31"/>
  <c r="D115" i="31"/>
  <c r="C115" i="31"/>
  <c r="K114" i="31"/>
  <c r="E114" i="31"/>
  <c r="D114" i="31"/>
  <c r="C114" i="31"/>
  <c r="K113" i="31"/>
  <c r="E113" i="31"/>
  <c r="D113" i="31"/>
  <c r="C113" i="31"/>
  <c r="K112" i="31"/>
  <c r="E112" i="31"/>
  <c r="D112" i="31"/>
  <c r="C112" i="31"/>
  <c r="K111" i="31"/>
  <c r="E111" i="31"/>
  <c r="D111" i="31"/>
  <c r="C111" i="31"/>
  <c r="K110" i="31"/>
  <c r="E110" i="31"/>
  <c r="D110" i="31"/>
  <c r="C110" i="31"/>
  <c r="K109" i="31"/>
  <c r="E109" i="31"/>
  <c r="D109" i="31"/>
  <c r="C109" i="31"/>
  <c r="K108" i="31"/>
  <c r="E108" i="31"/>
  <c r="D108" i="31"/>
  <c r="C108" i="31"/>
  <c r="K107" i="31"/>
  <c r="E107" i="31"/>
  <c r="D107" i="31"/>
  <c r="C107" i="31"/>
  <c r="K106" i="31"/>
  <c r="E106" i="31"/>
  <c r="D106" i="31"/>
  <c r="C106" i="31"/>
  <c r="K105" i="31"/>
  <c r="E105" i="31"/>
  <c r="D105" i="31"/>
  <c r="C105" i="31"/>
  <c r="K104" i="31"/>
  <c r="E104" i="31"/>
  <c r="D104" i="31"/>
  <c r="C104" i="31"/>
  <c r="K103" i="31"/>
  <c r="E103" i="31"/>
  <c r="D103" i="31"/>
  <c r="C103" i="31"/>
  <c r="K102" i="31"/>
  <c r="E102" i="31"/>
  <c r="D102" i="31"/>
  <c r="C102" i="31"/>
  <c r="K101" i="31"/>
  <c r="E101" i="31"/>
  <c r="D101" i="31"/>
  <c r="C101" i="31"/>
  <c r="K100" i="31"/>
  <c r="E100" i="31"/>
  <c r="D100" i="31"/>
  <c r="C100" i="31"/>
  <c r="K99" i="31"/>
  <c r="E99" i="31"/>
  <c r="D99" i="31"/>
  <c r="C99" i="31"/>
  <c r="K98" i="31"/>
  <c r="E98" i="31"/>
  <c r="D98" i="31"/>
  <c r="C98" i="31"/>
  <c r="K97" i="31"/>
  <c r="E97" i="31"/>
  <c r="D97" i="31"/>
  <c r="C97" i="31"/>
  <c r="K96" i="31"/>
  <c r="E96" i="31"/>
  <c r="D96" i="31"/>
  <c r="C96" i="31"/>
  <c r="K95" i="31"/>
  <c r="E95" i="31"/>
  <c r="D95" i="31"/>
  <c r="C95" i="31"/>
  <c r="K94" i="31"/>
  <c r="E94" i="31"/>
  <c r="D94" i="31"/>
  <c r="C94" i="31"/>
  <c r="K93" i="31"/>
  <c r="E93" i="31"/>
  <c r="D93" i="31"/>
  <c r="C93" i="31"/>
  <c r="K92" i="31"/>
  <c r="E92" i="31"/>
  <c r="D92" i="31"/>
  <c r="C92" i="31"/>
  <c r="K91" i="31"/>
  <c r="E91" i="31"/>
  <c r="D91" i="31"/>
  <c r="C91" i="31"/>
  <c r="K90" i="31"/>
  <c r="E90" i="31"/>
  <c r="D90" i="31"/>
  <c r="C90" i="31"/>
  <c r="K89" i="31"/>
  <c r="E89" i="31"/>
  <c r="D89" i="31"/>
  <c r="C89" i="31"/>
  <c r="K88" i="31"/>
  <c r="E88" i="31"/>
  <c r="D88" i="31"/>
  <c r="C88" i="31"/>
  <c r="K87" i="31"/>
  <c r="E87" i="31"/>
  <c r="D87" i="31"/>
  <c r="C87" i="31"/>
  <c r="K86" i="31"/>
  <c r="E86" i="31"/>
  <c r="D86" i="31"/>
  <c r="C86" i="31"/>
  <c r="K85" i="31"/>
  <c r="E85" i="31"/>
  <c r="D85" i="31"/>
  <c r="C85" i="31"/>
  <c r="K84" i="31"/>
  <c r="E84" i="31"/>
  <c r="D84" i="31"/>
  <c r="C84" i="31"/>
  <c r="K83" i="31"/>
  <c r="E83" i="31"/>
  <c r="D83" i="31"/>
  <c r="C83" i="31"/>
  <c r="K82" i="31"/>
  <c r="E82" i="31"/>
  <c r="D82" i="31"/>
  <c r="C82" i="31"/>
  <c r="K81" i="31"/>
  <c r="E81" i="31"/>
  <c r="D81" i="31"/>
  <c r="C81" i="31"/>
  <c r="K80" i="31"/>
  <c r="E80" i="31"/>
  <c r="D80" i="31"/>
  <c r="C80" i="31"/>
  <c r="K79" i="31"/>
  <c r="E79" i="31"/>
  <c r="D79" i="31"/>
  <c r="C79" i="31"/>
  <c r="K78" i="31"/>
  <c r="E78" i="31"/>
  <c r="D78" i="31"/>
  <c r="C78" i="31"/>
  <c r="K77" i="31"/>
  <c r="E77" i="31"/>
  <c r="D77" i="31"/>
  <c r="C77" i="31"/>
  <c r="K76" i="31"/>
  <c r="E76" i="31"/>
  <c r="D76" i="31"/>
  <c r="C76" i="31"/>
  <c r="K75" i="31"/>
  <c r="E75" i="31"/>
  <c r="D75" i="31"/>
  <c r="C75" i="31"/>
  <c r="K74" i="31"/>
  <c r="E74" i="31"/>
  <c r="D74" i="31"/>
  <c r="C74" i="31"/>
  <c r="K73" i="31"/>
  <c r="E73" i="31"/>
  <c r="D73" i="31"/>
  <c r="C73" i="31"/>
  <c r="K72" i="31"/>
  <c r="E72" i="31"/>
  <c r="D72" i="31"/>
  <c r="C72" i="31"/>
  <c r="K71" i="31"/>
  <c r="E71" i="31"/>
  <c r="D71" i="31"/>
  <c r="C71" i="31"/>
  <c r="K70" i="31"/>
  <c r="E70" i="31"/>
  <c r="D70" i="31"/>
  <c r="C70" i="31"/>
  <c r="K69" i="31"/>
  <c r="E69" i="31"/>
  <c r="D69" i="31"/>
  <c r="C69" i="31"/>
  <c r="K68" i="31"/>
  <c r="E68" i="31"/>
  <c r="D68" i="31"/>
  <c r="C68" i="31"/>
  <c r="K67" i="31"/>
  <c r="E67" i="31"/>
  <c r="D67" i="31"/>
  <c r="C67" i="31"/>
  <c r="K66" i="31"/>
  <c r="E66" i="31"/>
  <c r="D66" i="31"/>
  <c r="C66" i="31"/>
  <c r="K65" i="31"/>
  <c r="E65" i="31"/>
  <c r="D65" i="31"/>
  <c r="C65" i="31"/>
  <c r="K64" i="31"/>
  <c r="E64" i="31"/>
  <c r="D64" i="31"/>
  <c r="C64" i="31"/>
  <c r="K63" i="31"/>
  <c r="E63" i="31"/>
  <c r="D63" i="31"/>
  <c r="C63" i="31"/>
  <c r="K62" i="31"/>
  <c r="E62" i="31"/>
  <c r="D62" i="31"/>
  <c r="C62" i="31"/>
  <c r="K61" i="31"/>
  <c r="E61" i="31"/>
  <c r="D61" i="31"/>
  <c r="C61" i="31"/>
  <c r="K60" i="31"/>
  <c r="E60" i="31"/>
  <c r="D60" i="31"/>
  <c r="C60" i="31"/>
  <c r="K59" i="31"/>
  <c r="E59" i="31"/>
  <c r="D59" i="31"/>
  <c r="C59" i="31"/>
  <c r="K58" i="31"/>
  <c r="E58" i="31"/>
  <c r="D58" i="31"/>
  <c r="C58" i="31"/>
  <c r="K57" i="31"/>
  <c r="E57" i="31"/>
  <c r="D57" i="31"/>
  <c r="C57" i="31"/>
  <c r="K56" i="31"/>
  <c r="E56" i="31"/>
  <c r="D56" i="31"/>
  <c r="C56" i="31"/>
  <c r="K55" i="31"/>
  <c r="E55" i="31"/>
  <c r="D55" i="31"/>
  <c r="C55" i="31"/>
  <c r="K54" i="31"/>
  <c r="E54" i="31"/>
  <c r="D54" i="31"/>
  <c r="C54" i="31"/>
  <c r="K53" i="31"/>
  <c r="E53" i="31"/>
  <c r="D53" i="31"/>
  <c r="C53" i="31"/>
  <c r="K52" i="31"/>
  <c r="E52" i="31"/>
  <c r="D52" i="31"/>
  <c r="C52" i="31"/>
  <c r="K51" i="31"/>
  <c r="E51" i="31"/>
  <c r="D51" i="31"/>
  <c r="C51" i="31"/>
  <c r="K50" i="31"/>
  <c r="E50" i="31"/>
  <c r="D50" i="31"/>
  <c r="C50" i="31"/>
  <c r="K49" i="31"/>
  <c r="E49" i="31"/>
  <c r="D49" i="31"/>
  <c r="C49" i="31"/>
  <c r="K48" i="31"/>
  <c r="E48" i="31"/>
  <c r="D48" i="31"/>
  <c r="C48" i="31"/>
  <c r="K47" i="31"/>
  <c r="E47" i="31"/>
  <c r="D47" i="31"/>
  <c r="C47" i="31"/>
  <c r="K46" i="31"/>
  <c r="E46" i="31"/>
  <c r="D46" i="31"/>
  <c r="C46" i="31"/>
  <c r="K45" i="31"/>
  <c r="E45" i="31"/>
  <c r="D45" i="31"/>
  <c r="C45" i="31"/>
  <c r="K44" i="31"/>
  <c r="E44" i="31"/>
  <c r="D44" i="31"/>
  <c r="C44" i="31"/>
  <c r="K43" i="31"/>
  <c r="E43" i="31"/>
  <c r="D43" i="31"/>
  <c r="C43" i="31"/>
  <c r="K42" i="31"/>
  <c r="E42" i="31"/>
  <c r="D42" i="31"/>
  <c r="C42" i="31"/>
  <c r="K41" i="31"/>
  <c r="E41" i="31"/>
  <c r="D41" i="31"/>
  <c r="C41" i="31"/>
  <c r="K40" i="31"/>
  <c r="E40" i="31"/>
  <c r="D40" i="31"/>
  <c r="C40" i="31"/>
  <c r="K39" i="31"/>
  <c r="E39" i="31"/>
  <c r="D39" i="31"/>
  <c r="C39" i="31"/>
  <c r="K38" i="31"/>
  <c r="E38" i="31"/>
  <c r="D38" i="31"/>
  <c r="C38" i="31"/>
  <c r="K37" i="31"/>
  <c r="E37" i="31"/>
  <c r="D37" i="31"/>
  <c r="C37" i="31"/>
  <c r="K36" i="31"/>
  <c r="E36" i="31"/>
  <c r="D36" i="31"/>
  <c r="C36" i="31"/>
  <c r="K35" i="31"/>
  <c r="E35" i="31"/>
  <c r="D35" i="31"/>
  <c r="C35" i="31"/>
  <c r="K34" i="31"/>
  <c r="E34" i="31"/>
  <c r="D34" i="31"/>
  <c r="C34" i="31"/>
  <c r="K33" i="31"/>
  <c r="E33" i="31"/>
  <c r="D33" i="31"/>
  <c r="C33" i="31"/>
  <c r="K32" i="31"/>
  <c r="E32" i="31"/>
  <c r="D32" i="31"/>
  <c r="C32" i="31"/>
  <c r="K31" i="31"/>
  <c r="E31" i="31"/>
  <c r="D31" i="31"/>
  <c r="C31" i="31"/>
  <c r="K30" i="31"/>
  <c r="E30" i="31"/>
  <c r="D30" i="31"/>
  <c r="C30" i="31"/>
  <c r="K29" i="31"/>
  <c r="E29" i="31"/>
  <c r="D29" i="31"/>
  <c r="C29" i="31"/>
  <c r="K28" i="31"/>
  <c r="E28" i="31"/>
  <c r="D28" i="31"/>
  <c r="C28" i="31"/>
  <c r="K27" i="31"/>
  <c r="E27" i="31"/>
  <c r="D27" i="31"/>
  <c r="C27" i="31"/>
  <c r="K26" i="31"/>
  <c r="E26" i="31"/>
  <c r="D26" i="31"/>
  <c r="C26" i="31"/>
  <c r="K25" i="31"/>
  <c r="E25" i="31"/>
  <c r="D25" i="31"/>
  <c r="C25" i="31"/>
  <c r="K24" i="31"/>
  <c r="E24" i="31"/>
  <c r="D24" i="31"/>
  <c r="C24" i="31"/>
  <c r="K23" i="31"/>
  <c r="E23" i="31"/>
  <c r="D23" i="31"/>
  <c r="C23" i="31"/>
  <c r="K22" i="31"/>
  <c r="E22" i="31"/>
  <c r="D22" i="31"/>
  <c r="C22" i="31"/>
  <c r="K21" i="31"/>
  <c r="E21" i="31"/>
  <c r="D21" i="31"/>
  <c r="C21" i="31"/>
  <c r="K20" i="31"/>
  <c r="E20" i="31"/>
  <c r="D20" i="31"/>
  <c r="C20" i="31"/>
  <c r="K19" i="31"/>
  <c r="E19" i="31"/>
  <c r="D19" i="31"/>
  <c r="C19" i="31"/>
  <c r="K18" i="31"/>
  <c r="E18" i="31"/>
  <c r="D18" i="31"/>
  <c r="C18" i="31"/>
  <c r="K17" i="31"/>
  <c r="E17" i="31"/>
  <c r="D17" i="31"/>
  <c r="C17" i="31"/>
  <c r="K16" i="31"/>
  <c r="E16" i="31"/>
  <c r="D16" i="31"/>
  <c r="C16" i="31"/>
  <c r="K15" i="31"/>
  <c r="E15" i="31"/>
  <c r="D15" i="31"/>
  <c r="C15" i="31"/>
  <c r="K14" i="31"/>
  <c r="E14" i="31"/>
  <c r="D14" i="31"/>
  <c r="C14" i="31"/>
  <c r="K13" i="31"/>
  <c r="E13" i="31"/>
  <c r="D13" i="31"/>
  <c r="C13" i="31"/>
  <c r="K12" i="31"/>
  <c r="E12" i="31"/>
  <c r="D12" i="31"/>
  <c r="C12" i="31"/>
  <c r="K11" i="31"/>
  <c r="E11" i="31"/>
  <c r="D11" i="31"/>
  <c r="C11" i="31"/>
  <c r="K10" i="31"/>
  <c r="E10" i="31"/>
  <c r="D10" i="31"/>
  <c r="C10" i="31"/>
  <c r="K9" i="31"/>
  <c r="E9" i="31"/>
  <c r="D9" i="31"/>
  <c r="C9" i="31"/>
  <c r="K8" i="31"/>
  <c r="E8" i="31"/>
  <c r="D8" i="31"/>
  <c r="C8" i="31"/>
  <c r="K323" i="30"/>
  <c r="K310" i="30"/>
  <c r="E310" i="30"/>
  <c r="D310" i="30"/>
  <c r="C310" i="30"/>
  <c r="K309" i="30"/>
  <c r="E309" i="30"/>
  <c r="D309" i="30"/>
  <c r="C309" i="30"/>
  <c r="K308" i="30"/>
  <c r="E308" i="30"/>
  <c r="D308" i="30"/>
  <c r="C308" i="30"/>
  <c r="K307" i="30"/>
  <c r="E307" i="30"/>
  <c r="D307" i="30"/>
  <c r="C307" i="30"/>
  <c r="K306" i="30"/>
  <c r="E306" i="30"/>
  <c r="D306" i="30"/>
  <c r="C306" i="30"/>
  <c r="K305" i="30"/>
  <c r="E305" i="30"/>
  <c r="D305" i="30"/>
  <c r="C305" i="30"/>
  <c r="K304" i="30"/>
  <c r="E304" i="30"/>
  <c r="D304" i="30"/>
  <c r="C304" i="30"/>
  <c r="K303" i="30"/>
  <c r="E303" i="30"/>
  <c r="D303" i="30"/>
  <c r="C303" i="30"/>
  <c r="K302" i="30"/>
  <c r="E302" i="30"/>
  <c r="D302" i="30"/>
  <c r="C302" i="30"/>
  <c r="K301" i="30"/>
  <c r="E301" i="30"/>
  <c r="D301" i="30"/>
  <c r="C301" i="30"/>
  <c r="K300" i="30"/>
  <c r="E300" i="30"/>
  <c r="D300" i="30"/>
  <c r="C300" i="30"/>
  <c r="K299" i="30"/>
  <c r="E299" i="30"/>
  <c r="D299" i="30"/>
  <c r="C299" i="30"/>
  <c r="K298" i="30"/>
  <c r="E298" i="30"/>
  <c r="D298" i="30"/>
  <c r="C298" i="30"/>
  <c r="K297" i="30"/>
  <c r="E297" i="30"/>
  <c r="D297" i="30"/>
  <c r="C297" i="30"/>
  <c r="K296" i="30"/>
  <c r="E296" i="30"/>
  <c r="D296" i="30"/>
  <c r="C296" i="30"/>
  <c r="K295" i="30"/>
  <c r="E295" i="30"/>
  <c r="D295" i="30"/>
  <c r="C295" i="30"/>
  <c r="K294" i="30"/>
  <c r="E294" i="30"/>
  <c r="D294" i="30"/>
  <c r="C294" i="30"/>
  <c r="K293" i="30"/>
  <c r="E293" i="30"/>
  <c r="D293" i="30"/>
  <c r="C293" i="30"/>
  <c r="K292" i="30"/>
  <c r="E292" i="30"/>
  <c r="D292" i="30"/>
  <c r="C292" i="30"/>
  <c r="K291" i="30"/>
  <c r="E291" i="30"/>
  <c r="D291" i="30"/>
  <c r="C291" i="30"/>
  <c r="K290" i="30"/>
  <c r="E290" i="30"/>
  <c r="D290" i="30"/>
  <c r="C290" i="30"/>
  <c r="K289" i="30"/>
  <c r="E289" i="30"/>
  <c r="D289" i="30"/>
  <c r="C289" i="30"/>
  <c r="K288" i="30"/>
  <c r="E288" i="30"/>
  <c r="D288" i="30"/>
  <c r="C288" i="30"/>
  <c r="K287" i="30"/>
  <c r="E287" i="30"/>
  <c r="D287" i="30"/>
  <c r="C287" i="30"/>
  <c r="K286" i="30"/>
  <c r="E286" i="30"/>
  <c r="D286" i="30"/>
  <c r="C286" i="30"/>
  <c r="K285" i="30"/>
  <c r="E285" i="30"/>
  <c r="D285" i="30"/>
  <c r="C285" i="30"/>
  <c r="K284" i="30"/>
  <c r="E284" i="30"/>
  <c r="D284" i="30"/>
  <c r="C284" i="30"/>
  <c r="K283" i="30"/>
  <c r="E283" i="30"/>
  <c r="D283" i="30"/>
  <c r="C283" i="30"/>
  <c r="K282" i="30"/>
  <c r="E282" i="30"/>
  <c r="D282" i="30"/>
  <c r="C282" i="30"/>
  <c r="K281" i="30"/>
  <c r="E281" i="30"/>
  <c r="D281" i="30"/>
  <c r="C281" i="30"/>
  <c r="K280" i="30"/>
  <c r="E280" i="30"/>
  <c r="D280" i="30"/>
  <c r="C280" i="30"/>
  <c r="K279" i="30"/>
  <c r="E279" i="30"/>
  <c r="D279" i="30"/>
  <c r="C279" i="30"/>
  <c r="K278" i="30"/>
  <c r="E278" i="30"/>
  <c r="D278" i="30"/>
  <c r="C278" i="30"/>
  <c r="K277" i="30"/>
  <c r="E277" i="30"/>
  <c r="D277" i="30"/>
  <c r="C277" i="30"/>
  <c r="K276" i="30"/>
  <c r="E276" i="30"/>
  <c r="D276" i="30"/>
  <c r="C276" i="30"/>
  <c r="K275" i="30"/>
  <c r="E275" i="30"/>
  <c r="D275" i="30"/>
  <c r="C275" i="30"/>
  <c r="K274" i="30"/>
  <c r="E274" i="30"/>
  <c r="D274" i="30"/>
  <c r="C274" i="30"/>
  <c r="K273" i="30"/>
  <c r="E273" i="30"/>
  <c r="D273" i="30"/>
  <c r="C273" i="30"/>
  <c r="K272" i="30"/>
  <c r="E272" i="30"/>
  <c r="D272" i="30"/>
  <c r="C272" i="30"/>
  <c r="K271" i="30"/>
  <c r="E271" i="30"/>
  <c r="D271" i="30"/>
  <c r="C271" i="30"/>
  <c r="K270" i="30"/>
  <c r="E270" i="30"/>
  <c r="D270" i="30"/>
  <c r="C270" i="30"/>
  <c r="K269" i="30"/>
  <c r="E269" i="30"/>
  <c r="D269" i="30"/>
  <c r="C269" i="30"/>
  <c r="K268" i="30"/>
  <c r="E268" i="30"/>
  <c r="D268" i="30"/>
  <c r="C268" i="30"/>
  <c r="K267" i="30"/>
  <c r="E267" i="30"/>
  <c r="D267" i="30"/>
  <c r="C267" i="30"/>
  <c r="K266" i="30"/>
  <c r="E266" i="30"/>
  <c r="D266" i="30"/>
  <c r="C266" i="30"/>
  <c r="K265" i="30"/>
  <c r="E265" i="30"/>
  <c r="D265" i="30"/>
  <c r="C265" i="30"/>
  <c r="K264" i="30"/>
  <c r="E264" i="30"/>
  <c r="D264" i="30"/>
  <c r="C264" i="30"/>
  <c r="K263" i="30"/>
  <c r="E263" i="30"/>
  <c r="D263" i="30"/>
  <c r="C263" i="30"/>
  <c r="K262" i="30"/>
  <c r="E262" i="30"/>
  <c r="D262" i="30"/>
  <c r="C262" i="30"/>
  <c r="K261" i="30"/>
  <c r="E261" i="30"/>
  <c r="D261" i="30"/>
  <c r="C261" i="30"/>
  <c r="K260" i="30"/>
  <c r="E260" i="30"/>
  <c r="D260" i="30"/>
  <c r="C260" i="30"/>
  <c r="K259" i="30"/>
  <c r="E259" i="30"/>
  <c r="D259" i="30"/>
  <c r="C259" i="30"/>
  <c r="K258" i="30"/>
  <c r="E258" i="30"/>
  <c r="D258" i="30"/>
  <c r="C258" i="30"/>
  <c r="K257" i="30"/>
  <c r="E257" i="30"/>
  <c r="D257" i="30"/>
  <c r="C257" i="30"/>
  <c r="K256" i="30"/>
  <c r="E256" i="30"/>
  <c r="D256" i="30"/>
  <c r="C256" i="30"/>
  <c r="K255" i="30"/>
  <c r="E255" i="30"/>
  <c r="D255" i="30"/>
  <c r="C255" i="30"/>
  <c r="K254" i="30"/>
  <c r="E254" i="30"/>
  <c r="D254" i="30"/>
  <c r="C254" i="30"/>
  <c r="K253" i="30"/>
  <c r="E253" i="30"/>
  <c r="D253" i="30"/>
  <c r="C253" i="30"/>
  <c r="K252" i="30"/>
  <c r="E252" i="30"/>
  <c r="D252" i="30"/>
  <c r="C252" i="30"/>
  <c r="K251" i="30"/>
  <c r="E251" i="30"/>
  <c r="D251" i="30"/>
  <c r="C251" i="30"/>
  <c r="K250" i="30"/>
  <c r="E250" i="30"/>
  <c r="D250" i="30"/>
  <c r="C250" i="30"/>
  <c r="K249" i="30"/>
  <c r="E249" i="30"/>
  <c r="D249" i="30"/>
  <c r="C249" i="30"/>
  <c r="K248" i="30"/>
  <c r="E248" i="30"/>
  <c r="D248" i="30"/>
  <c r="C248" i="30"/>
  <c r="K247" i="30"/>
  <c r="E247" i="30"/>
  <c r="D247" i="30"/>
  <c r="C247" i="30"/>
  <c r="K246" i="30"/>
  <c r="E246" i="30"/>
  <c r="D246" i="30"/>
  <c r="C246" i="30"/>
  <c r="K245" i="30"/>
  <c r="E245" i="30"/>
  <c r="D245" i="30"/>
  <c r="C245" i="30"/>
  <c r="K244" i="30"/>
  <c r="E244" i="30"/>
  <c r="D244" i="30"/>
  <c r="C244" i="30"/>
  <c r="K243" i="30"/>
  <c r="E243" i="30"/>
  <c r="D243" i="30"/>
  <c r="C243" i="30"/>
  <c r="K242" i="30"/>
  <c r="E242" i="30"/>
  <c r="D242" i="30"/>
  <c r="C242" i="30"/>
  <c r="K241" i="30"/>
  <c r="E241" i="30"/>
  <c r="D241" i="30"/>
  <c r="C241" i="30"/>
  <c r="K240" i="30"/>
  <c r="E240" i="30"/>
  <c r="D240" i="30"/>
  <c r="C240" i="30"/>
  <c r="K239" i="30"/>
  <c r="E239" i="30"/>
  <c r="D239" i="30"/>
  <c r="C239" i="30"/>
  <c r="K238" i="30"/>
  <c r="E238" i="30"/>
  <c r="D238" i="30"/>
  <c r="C238" i="30"/>
  <c r="K237" i="30"/>
  <c r="E237" i="30"/>
  <c r="D237" i="30"/>
  <c r="C237" i="30"/>
  <c r="K236" i="30"/>
  <c r="E236" i="30"/>
  <c r="D236" i="30"/>
  <c r="C236" i="30"/>
  <c r="K235" i="30"/>
  <c r="E235" i="30"/>
  <c r="D235" i="30"/>
  <c r="C235" i="30"/>
  <c r="K234" i="30"/>
  <c r="E234" i="30"/>
  <c r="D234" i="30"/>
  <c r="C234" i="30"/>
  <c r="K233" i="30"/>
  <c r="E233" i="30"/>
  <c r="D233" i="30"/>
  <c r="C233" i="30"/>
  <c r="K232" i="30"/>
  <c r="E232" i="30"/>
  <c r="D232" i="30"/>
  <c r="C232" i="30"/>
  <c r="K231" i="30"/>
  <c r="E231" i="30"/>
  <c r="D231" i="30"/>
  <c r="C231" i="30"/>
  <c r="K230" i="30"/>
  <c r="E230" i="30"/>
  <c r="D230" i="30"/>
  <c r="C230" i="30"/>
  <c r="K229" i="30"/>
  <c r="E229" i="30"/>
  <c r="D229" i="30"/>
  <c r="C229" i="30"/>
  <c r="K228" i="30"/>
  <c r="E228" i="30"/>
  <c r="D228" i="30"/>
  <c r="C228" i="30"/>
  <c r="K227" i="30"/>
  <c r="E227" i="30"/>
  <c r="D227" i="30"/>
  <c r="C227" i="30"/>
  <c r="K226" i="30"/>
  <c r="E226" i="30"/>
  <c r="D226" i="30"/>
  <c r="C226" i="30"/>
  <c r="K225" i="30"/>
  <c r="E225" i="30"/>
  <c r="D225" i="30"/>
  <c r="C225" i="30"/>
  <c r="K224" i="30"/>
  <c r="E224" i="30"/>
  <c r="D224" i="30"/>
  <c r="C224" i="30"/>
  <c r="K223" i="30"/>
  <c r="E223" i="30"/>
  <c r="D223" i="30"/>
  <c r="C223" i="30"/>
  <c r="K222" i="30"/>
  <c r="E222" i="30"/>
  <c r="D222" i="30"/>
  <c r="C222" i="30"/>
  <c r="K221" i="30"/>
  <c r="E221" i="30"/>
  <c r="D221" i="30"/>
  <c r="C221" i="30"/>
  <c r="K220" i="30"/>
  <c r="E220" i="30"/>
  <c r="D220" i="30"/>
  <c r="C220" i="30"/>
  <c r="K219" i="30"/>
  <c r="E219" i="30"/>
  <c r="D219" i="30"/>
  <c r="C219" i="30"/>
  <c r="K218" i="30"/>
  <c r="E218" i="30"/>
  <c r="D218" i="30"/>
  <c r="C218" i="30"/>
  <c r="K217" i="30"/>
  <c r="E217" i="30"/>
  <c r="D217" i="30"/>
  <c r="C217" i="30"/>
  <c r="K216" i="30"/>
  <c r="E216" i="30"/>
  <c r="D216" i="30"/>
  <c r="C216" i="30"/>
  <c r="K215" i="30"/>
  <c r="E215" i="30"/>
  <c r="D215" i="30"/>
  <c r="C215" i="30"/>
  <c r="K214" i="30"/>
  <c r="E214" i="30"/>
  <c r="D214" i="30"/>
  <c r="C214" i="30"/>
  <c r="K213" i="30"/>
  <c r="E213" i="30"/>
  <c r="D213" i="30"/>
  <c r="C213" i="30"/>
  <c r="K212" i="30"/>
  <c r="E212" i="30"/>
  <c r="D212" i="30"/>
  <c r="C212" i="30"/>
  <c r="K211" i="30"/>
  <c r="E211" i="30"/>
  <c r="D211" i="30"/>
  <c r="C211" i="30"/>
  <c r="K210" i="30"/>
  <c r="E210" i="30"/>
  <c r="D210" i="30"/>
  <c r="C210" i="30"/>
  <c r="K209" i="30"/>
  <c r="E209" i="30"/>
  <c r="D209" i="30"/>
  <c r="C209" i="30"/>
  <c r="K208" i="30"/>
  <c r="E208" i="30"/>
  <c r="D208" i="30"/>
  <c r="C208" i="30"/>
  <c r="K207" i="30"/>
  <c r="E207" i="30"/>
  <c r="D207" i="30"/>
  <c r="C207" i="30"/>
  <c r="K206" i="30"/>
  <c r="E206" i="30"/>
  <c r="D206" i="30"/>
  <c r="C206" i="30"/>
  <c r="K205" i="30"/>
  <c r="E205" i="30"/>
  <c r="D205" i="30"/>
  <c r="C205" i="30"/>
  <c r="K204" i="30"/>
  <c r="E204" i="30"/>
  <c r="D204" i="30"/>
  <c r="C204" i="30"/>
  <c r="K203" i="30"/>
  <c r="E203" i="30"/>
  <c r="D203" i="30"/>
  <c r="C203" i="30"/>
  <c r="K202" i="30"/>
  <c r="E202" i="30"/>
  <c r="D202" i="30"/>
  <c r="C202" i="30"/>
  <c r="K201" i="30"/>
  <c r="E201" i="30"/>
  <c r="D201" i="30"/>
  <c r="C201" i="30"/>
  <c r="K200" i="30"/>
  <c r="E200" i="30"/>
  <c r="D200" i="30"/>
  <c r="C200" i="30"/>
  <c r="K199" i="30"/>
  <c r="E199" i="30"/>
  <c r="D199" i="30"/>
  <c r="C199" i="30"/>
  <c r="K198" i="30"/>
  <c r="E198" i="30"/>
  <c r="D198" i="30"/>
  <c r="C198" i="30"/>
  <c r="K197" i="30"/>
  <c r="E197" i="30"/>
  <c r="D197" i="30"/>
  <c r="C197" i="30"/>
  <c r="K196" i="30"/>
  <c r="E196" i="30"/>
  <c r="D196" i="30"/>
  <c r="C196" i="30"/>
  <c r="K195" i="30"/>
  <c r="E195" i="30"/>
  <c r="D195" i="30"/>
  <c r="C195" i="30"/>
  <c r="K194" i="30"/>
  <c r="E194" i="30"/>
  <c r="D194" i="30"/>
  <c r="C194" i="30"/>
  <c r="K193" i="30"/>
  <c r="E193" i="30"/>
  <c r="D193" i="30"/>
  <c r="C193" i="30"/>
  <c r="K192" i="30"/>
  <c r="E192" i="30"/>
  <c r="D192" i="30"/>
  <c r="C192" i="30"/>
  <c r="K191" i="30"/>
  <c r="E191" i="30"/>
  <c r="D191" i="30"/>
  <c r="C191" i="30"/>
  <c r="K190" i="30"/>
  <c r="E190" i="30"/>
  <c r="D190" i="30"/>
  <c r="C190" i="30"/>
  <c r="K189" i="30"/>
  <c r="E189" i="30"/>
  <c r="D189" i="30"/>
  <c r="C189" i="30"/>
  <c r="K188" i="30"/>
  <c r="E188" i="30"/>
  <c r="D188" i="30"/>
  <c r="C188" i="30"/>
  <c r="K187" i="30"/>
  <c r="E187" i="30"/>
  <c r="D187" i="30"/>
  <c r="C187" i="30"/>
  <c r="K186" i="30"/>
  <c r="E186" i="30"/>
  <c r="D186" i="30"/>
  <c r="C186" i="30"/>
  <c r="K185" i="30"/>
  <c r="E185" i="30"/>
  <c r="D185" i="30"/>
  <c r="C185" i="30"/>
  <c r="K184" i="30"/>
  <c r="E184" i="30"/>
  <c r="D184" i="30"/>
  <c r="C184" i="30"/>
  <c r="K183" i="30"/>
  <c r="E183" i="30"/>
  <c r="D183" i="30"/>
  <c r="C183" i="30"/>
  <c r="K182" i="30"/>
  <c r="E182" i="30"/>
  <c r="D182" i="30"/>
  <c r="C182" i="30"/>
  <c r="K181" i="30"/>
  <c r="E181" i="30"/>
  <c r="D181" i="30"/>
  <c r="C181" i="30"/>
  <c r="K180" i="30"/>
  <c r="E180" i="30"/>
  <c r="D180" i="30"/>
  <c r="C180" i="30"/>
  <c r="K179" i="30"/>
  <c r="E179" i="30"/>
  <c r="D179" i="30"/>
  <c r="C179" i="30"/>
  <c r="K178" i="30"/>
  <c r="E178" i="30"/>
  <c r="D178" i="30"/>
  <c r="C178" i="30"/>
  <c r="K177" i="30"/>
  <c r="E177" i="30"/>
  <c r="D177" i="30"/>
  <c r="C177" i="30"/>
  <c r="K176" i="30"/>
  <c r="E176" i="30"/>
  <c r="D176" i="30"/>
  <c r="C176" i="30"/>
  <c r="K175" i="30"/>
  <c r="E175" i="30"/>
  <c r="D175" i="30"/>
  <c r="C175" i="30"/>
  <c r="K174" i="30"/>
  <c r="E174" i="30"/>
  <c r="D174" i="30"/>
  <c r="C174" i="30"/>
  <c r="K173" i="30"/>
  <c r="E173" i="30"/>
  <c r="D173" i="30"/>
  <c r="C173" i="30"/>
  <c r="K172" i="30"/>
  <c r="E172" i="30"/>
  <c r="D172" i="30"/>
  <c r="C172" i="30"/>
  <c r="K171" i="30"/>
  <c r="E171" i="30"/>
  <c r="D171" i="30"/>
  <c r="C171" i="30"/>
  <c r="K170" i="30"/>
  <c r="E170" i="30"/>
  <c r="D170" i="30"/>
  <c r="C170" i="30"/>
  <c r="K169" i="30"/>
  <c r="E169" i="30"/>
  <c r="D169" i="30"/>
  <c r="C169" i="30"/>
  <c r="K168" i="30"/>
  <c r="E168" i="30"/>
  <c r="D168" i="30"/>
  <c r="C168" i="30"/>
  <c r="K167" i="30"/>
  <c r="E167" i="30"/>
  <c r="D167" i="30"/>
  <c r="C167" i="30"/>
  <c r="K166" i="30"/>
  <c r="E166" i="30"/>
  <c r="D166" i="30"/>
  <c r="C166" i="30"/>
  <c r="K165" i="30"/>
  <c r="E165" i="30"/>
  <c r="D165" i="30"/>
  <c r="C165" i="30"/>
  <c r="K164" i="30"/>
  <c r="E164" i="30"/>
  <c r="D164" i="30"/>
  <c r="C164" i="30"/>
  <c r="K163" i="30"/>
  <c r="E163" i="30"/>
  <c r="D163" i="30"/>
  <c r="C163" i="30"/>
  <c r="K162" i="30"/>
  <c r="E162" i="30"/>
  <c r="D162" i="30"/>
  <c r="C162" i="30"/>
  <c r="K161" i="30"/>
  <c r="E161" i="30"/>
  <c r="D161" i="30"/>
  <c r="C161" i="30"/>
  <c r="K160" i="30"/>
  <c r="E160" i="30"/>
  <c r="D160" i="30"/>
  <c r="C160" i="30"/>
  <c r="K159" i="30"/>
  <c r="E159" i="30"/>
  <c r="D159" i="30"/>
  <c r="C159" i="30"/>
  <c r="K158" i="30"/>
  <c r="E158" i="30"/>
  <c r="D158" i="30"/>
  <c r="C158" i="30"/>
  <c r="K157" i="30"/>
  <c r="E157" i="30"/>
  <c r="D157" i="30"/>
  <c r="C157" i="30"/>
  <c r="K156" i="30"/>
  <c r="E156" i="30"/>
  <c r="D156" i="30"/>
  <c r="C156" i="30"/>
  <c r="K155" i="30"/>
  <c r="E155" i="30"/>
  <c r="D155" i="30"/>
  <c r="C155" i="30"/>
  <c r="K154" i="30"/>
  <c r="E154" i="30"/>
  <c r="D154" i="30"/>
  <c r="C154" i="30"/>
  <c r="K153" i="30"/>
  <c r="E153" i="30"/>
  <c r="D153" i="30"/>
  <c r="C153" i="30"/>
  <c r="K152" i="30"/>
  <c r="E152" i="30"/>
  <c r="D152" i="30"/>
  <c r="C152" i="30"/>
  <c r="K151" i="30"/>
  <c r="E151" i="30"/>
  <c r="D151" i="30"/>
  <c r="C151" i="30"/>
  <c r="K150" i="30"/>
  <c r="E150" i="30"/>
  <c r="D150" i="30"/>
  <c r="C150" i="30"/>
  <c r="K149" i="30"/>
  <c r="E149" i="30"/>
  <c r="D149" i="30"/>
  <c r="C149" i="30"/>
  <c r="K148" i="30"/>
  <c r="E148" i="30"/>
  <c r="D148" i="30"/>
  <c r="C148" i="30"/>
  <c r="K147" i="30"/>
  <c r="E147" i="30"/>
  <c r="D147" i="30"/>
  <c r="C147" i="30"/>
  <c r="K146" i="30"/>
  <c r="E146" i="30"/>
  <c r="D146" i="30"/>
  <c r="C146" i="30"/>
  <c r="K145" i="30"/>
  <c r="E145" i="30"/>
  <c r="D145" i="30"/>
  <c r="C145" i="30"/>
  <c r="K144" i="30"/>
  <c r="E144" i="30"/>
  <c r="D144" i="30"/>
  <c r="C144" i="30"/>
  <c r="K143" i="30"/>
  <c r="E143" i="30"/>
  <c r="D143" i="30"/>
  <c r="C143" i="30"/>
  <c r="K142" i="30"/>
  <c r="E142" i="30"/>
  <c r="D142" i="30"/>
  <c r="C142" i="30"/>
  <c r="K141" i="30"/>
  <c r="E141" i="30"/>
  <c r="D141" i="30"/>
  <c r="C141" i="30"/>
  <c r="K140" i="30"/>
  <c r="E140" i="30"/>
  <c r="D140" i="30"/>
  <c r="C140" i="30"/>
  <c r="K139" i="30"/>
  <c r="E139" i="30"/>
  <c r="D139" i="30"/>
  <c r="C139" i="30"/>
  <c r="K138" i="30"/>
  <c r="E138" i="30"/>
  <c r="D138" i="30"/>
  <c r="C138" i="30"/>
  <c r="K137" i="30"/>
  <c r="E137" i="30"/>
  <c r="D137" i="30"/>
  <c r="C137" i="30"/>
  <c r="K136" i="30"/>
  <c r="E136" i="30"/>
  <c r="D136" i="30"/>
  <c r="C136" i="30"/>
  <c r="K135" i="30"/>
  <c r="E135" i="30"/>
  <c r="D135" i="30"/>
  <c r="C135" i="30"/>
  <c r="K134" i="30"/>
  <c r="E134" i="30"/>
  <c r="D134" i="30"/>
  <c r="C134" i="30"/>
  <c r="K133" i="30"/>
  <c r="E133" i="30"/>
  <c r="D133" i="30"/>
  <c r="C133" i="30"/>
  <c r="K132" i="30"/>
  <c r="E132" i="30"/>
  <c r="D132" i="30"/>
  <c r="C132" i="30"/>
  <c r="K131" i="30"/>
  <c r="E131" i="30"/>
  <c r="D131" i="30"/>
  <c r="C131" i="30"/>
  <c r="K130" i="30"/>
  <c r="E130" i="30"/>
  <c r="D130" i="30"/>
  <c r="C130" i="30"/>
  <c r="K129" i="30"/>
  <c r="E129" i="30"/>
  <c r="D129" i="30"/>
  <c r="C129" i="30"/>
  <c r="K128" i="30"/>
  <c r="E128" i="30"/>
  <c r="D128" i="30"/>
  <c r="C128" i="30"/>
  <c r="K127" i="30"/>
  <c r="E127" i="30"/>
  <c r="D127" i="30"/>
  <c r="C127" i="30"/>
  <c r="K126" i="30"/>
  <c r="E126" i="30"/>
  <c r="D126" i="30"/>
  <c r="C126" i="30"/>
  <c r="K125" i="30"/>
  <c r="E125" i="30"/>
  <c r="D125" i="30"/>
  <c r="C125" i="30"/>
  <c r="K124" i="30"/>
  <c r="E124" i="30"/>
  <c r="D124" i="30"/>
  <c r="C124" i="30"/>
  <c r="K123" i="30"/>
  <c r="E123" i="30"/>
  <c r="D123" i="30"/>
  <c r="C123" i="30"/>
  <c r="K122" i="30"/>
  <c r="E122" i="30"/>
  <c r="D122" i="30"/>
  <c r="C122" i="30"/>
  <c r="K121" i="30"/>
  <c r="E121" i="30"/>
  <c r="D121" i="30"/>
  <c r="C121" i="30"/>
  <c r="K120" i="30"/>
  <c r="E120" i="30"/>
  <c r="D120" i="30"/>
  <c r="C120" i="30"/>
  <c r="K119" i="30"/>
  <c r="E119" i="30"/>
  <c r="D119" i="30"/>
  <c r="C119" i="30"/>
  <c r="K118" i="30"/>
  <c r="E118" i="30"/>
  <c r="D118" i="30"/>
  <c r="C118" i="30"/>
  <c r="K117" i="30"/>
  <c r="E117" i="30"/>
  <c r="D117" i="30"/>
  <c r="C117" i="30"/>
  <c r="K116" i="30"/>
  <c r="E116" i="30"/>
  <c r="D116" i="30"/>
  <c r="C116" i="30"/>
  <c r="K115" i="30"/>
  <c r="E115" i="30"/>
  <c r="D115" i="30"/>
  <c r="C115" i="30"/>
  <c r="K114" i="30"/>
  <c r="E114" i="30"/>
  <c r="D114" i="30"/>
  <c r="C114" i="30"/>
  <c r="K113" i="30"/>
  <c r="E113" i="30"/>
  <c r="D113" i="30"/>
  <c r="C113" i="30"/>
  <c r="K112" i="30"/>
  <c r="E112" i="30"/>
  <c r="D112" i="30"/>
  <c r="C112" i="30"/>
  <c r="K111" i="30"/>
  <c r="E111" i="30"/>
  <c r="D111" i="30"/>
  <c r="C111" i="30"/>
  <c r="K110" i="30"/>
  <c r="E110" i="30"/>
  <c r="D110" i="30"/>
  <c r="C110" i="30"/>
  <c r="K109" i="30"/>
  <c r="E109" i="30"/>
  <c r="D109" i="30"/>
  <c r="C109" i="30"/>
  <c r="K108" i="30"/>
  <c r="E108" i="30"/>
  <c r="D108" i="30"/>
  <c r="C108" i="30"/>
  <c r="K107" i="30"/>
  <c r="E107" i="30"/>
  <c r="D107" i="30"/>
  <c r="C107" i="30"/>
  <c r="K106" i="30"/>
  <c r="E106" i="30"/>
  <c r="D106" i="30"/>
  <c r="C106" i="30"/>
  <c r="K105" i="30"/>
  <c r="E105" i="30"/>
  <c r="D105" i="30"/>
  <c r="C105" i="30"/>
  <c r="K104" i="30"/>
  <c r="E104" i="30"/>
  <c r="D104" i="30"/>
  <c r="C104" i="30"/>
  <c r="K103" i="30"/>
  <c r="E103" i="30"/>
  <c r="D103" i="30"/>
  <c r="C103" i="30"/>
  <c r="K102" i="30"/>
  <c r="E102" i="30"/>
  <c r="D102" i="30"/>
  <c r="C102" i="30"/>
  <c r="K101" i="30"/>
  <c r="E101" i="30"/>
  <c r="D101" i="30"/>
  <c r="C101" i="30"/>
  <c r="K100" i="30"/>
  <c r="E100" i="30"/>
  <c r="D100" i="30"/>
  <c r="C100" i="30"/>
  <c r="K99" i="30"/>
  <c r="E99" i="30"/>
  <c r="D99" i="30"/>
  <c r="C99" i="30"/>
  <c r="K98" i="30"/>
  <c r="E98" i="30"/>
  <c r="D98" i="30"/>
  <c r="C98" i="30"/>
  <c r="K97" i="30"/>
  <c r="E97" i="30"/>
  <c r="D97" i="30"/>
  <c r="C97" i="30"/>
  <c r="K96" i="30"/>
  <c r="E96" i="30"/>
  <c r="D96" i="30"/>
  <c r="C96" i="30"/>
  <c r="K95" i="30"/>
  <c r="E95" i="30"/>
  <c r="D95" i="30"/>
  <c r="C95" i="30"/>
  <c r="K94" i="30"/>
  <c r="E94" i="30"/>
  <c r="D94" i="30"/>
  <c r="C94" i="30"/>
  <c r="K93" i="30"/>
  <c r="E93" i="30"/>
  <c r="D93" i="30"/>
  <c r="C93" i="30"/>
  <c r="K92" i="30"/>
  <c r="E92" i="30"/>
  <c r="D92" i="30"/>
  <c r="C92" i="30"/>
  <c r="K91" i="30"/>
  <c r="E91" i="30"/>
  <c r="D91" i="30"/>
  <c r="C91" i="30"/>
  <c r="K90" i="30"/>
  <c r="E90" i="30"/>
  <c r="D90" i="30"/>
  <c r="C90" i="30"/>
  <c r="K89" i="30"/>
  <c r="E89" i="30"/>
  <c r="D89" i="30"/>
  <c r="C89" i="30"/>
  <c r="K88" i="30"/>
  <c r="E88" i="30"/>
  <c r="D88" i="30"/>
  <c r="C88" i="30"/>
  <c r="K87" i="30"/>
  <c r="E87" i="30"/>
  <c r="D87" i="30"/>
  <c r="C87" i="30"/>
  <c r="K86" i="30"/>
  <c r="E86" i="30"/>
  <c r="D86" i="30"/>
  <c r="C86" i="30"/>
  <c r="K85" i="30"/>
  <c r="E85" i="30"/>
  <c r="D85" i="30"/>
  <c r="C85" i="30"/>
  <c r="K84" i="30"/>
  <c r="E84" i="30"/>
  <c r="D84" i="30"/>
  <c r="C84" i="30"/>
  <c r="K83" i="30"/>
  <c r="E83" i="30"/>
  <c r="D83" i="30"/>
  <c r="C83" i="30"/>
  <c r="K82" i="30"/>
  <c r="E82" i="30"/>
  <c r="D82" i="30"/>
  <c r="C82" i="30"/>
  <c r="K81" i="30"/>
  <c r="E81" i="30"/>
  <c r="D81" i="30"/>
  <c r="C81" i="30"/>
  <c r="K80" i="30"/>
  <c r="E80" i="30"/>
  <c r="D80" i="30"/>
  <c r="C80" i="30"/>
  <c r="K79" i="30"/>
  <c r="E79" i="30"/>
  <c r="D79" i="30"/>
  <c r="C79" i="30"/>
  <c r="K78" i="30"/>
  <c r="E78" i="30"/>
  <c r="D78" i="30"/>
  <c r="C78" i="30"/>
  <c r="K77" i="30"/>
  <c r="E77" i="30"/>
  <c r="D77" i="30"/>
  <c r="C77" i="30"/>
  <c r="K76" i="30"/>
  <c r="E76" i="30"/>
  <c r="D76" i="30"/>
  <c r="C76" i="30"/>
  <c r="K75" i="30"/>
  <c r="E75" i="30"/>
  <c r="D75" i="30"/>
  <c r="C75" i="30"/>
  <c r="K74" i="30"/>
  <c r="E74" i="30"/>
  <c r="D74" i="30"/>
  <c r="C74" i="30"/>
  <c r="K73" i="30"/>
  <c r="E73" i="30"/>
  <c r="D73" i="30"/>
  <c r="C73" i="30"/>
  <c r="K72" i="30"/>
  <c r="E72" i="30"/>
  <c r="D72" i="30"/>
  <c r="C72" i="30"/>
  <c r="K71" i="30"/>
  <c r="E71" i="30"/>
  <c r="D71" i="30"/>
  <c r="C71" i="30"/>
  <c r="K70" i="30"/>
  <c r="E70" i="30"/>
  <c r="D70" i="30"/>
  <c r="C70" i="30"/>
  <c r="K69" i="30"/>
  <c r="E69" i="30"/>
  <c r="D69" i="30"/>
  <c r="C69" i="30"/>
  <c r="K68" i="30"/>
  <c r="E68" i="30"/>
  <c r="D68" i="30"/>
  <c r="C68" i="30"/>
  <c r="K67" i="30"/>
  <c r="E67" i="30"/>
  <c r="D67" i="30"/>
  <c r="C67" i="30"/>
  <c r="K66" i="30"/>
  <c r="E66" i="30"/>
  <c r="D66" i="30"/>
  <c r="C66" i="30"/>
  <c r="K65" i="30"/>
  <c r="E65" i="30"/>
  <c r="D65" i="30"/>
  <c r="C65" i="30"/>
  <c r="K64" i="30"/>
  <c r="E64" i="30"/>
  <c r="D64" i="30"/>
  <c r="C64" i="30"/>
  <c r="K63" i="30"/>
  <c r="E63" i="30"/>
  <c r="D63" i="30"/>
  <c r="C63" i="30"/>
  <c r="K62" i="30"/>
  <c r="E62" i="30"/>
  <c r="D62" i="30"/>
  <c r="C62" i="30"/>
  <c r="K61" i="30"/>
  <c r="E61" i="30"/>
  <c r="D61" i="30"/>
  <c r="C61" i="30"/>
  <c r="K60" i="30"/>
  <c r="E60" i="30"/>
  <c r="D60" i="30"/>
  <c r="C60" i="30"/>
  <c r="K59" i="30"/>
  <c r="E59" i="30"/>
  <c r="D59" i="30"/>
  <c r="C59" i="30"/>
  <c r="K58" i="30"/>
  <c r="E58" i="30"/>
  <c r="D58" i="30"/>
  <c r="C58" i="30"/>
  <c r="K57" i="30"/>
  <c r="E57" i="30"/>
  <c r="D57" i="30"/>
  <c r="C57" i="30"/>
  <c r="K56" i="30"/>
  <c r="E56" i="30"/>
  <c r="D56" i="30"/>
  <c r="C56" i="30"/>
  <c r="K55" i="30"/>
  <c r="E55" i="30"/>
  <c r="D55" i="30"/>
  <c r="C55" i="30"/>
  <c r="K54" i="30"/>
  <c r="E54" i="30"/>
  <c r="D54" i="30"/>
  <c r="C54" i="30"/>
  <c r="K53" i="30"/>
  <c r="E53" i="30"/>
  <c r="D53" i="30"/>
  <c r="C53" i="30"/>
  <c r="K52" i="30"/>
  <c r="E52" i="30"/>
  <c r="D52" i="30"/>
  <c r="C52" i="30"/>
  <c r="K51" i="30"/>
  <c r="E51" i="30"/>
  <c r="D51" i="30"/>
  <c r="C51" i="30"/>
  <c r="K50" i="30"/>
  <c r="E50" i="30"/>
  <c r="D50" i="30"/>
  <c r="C50" i="30"/>
  <c r="K49" i="30"/>
  <c r="E49" i="30"/>
  <c r="D49" i="30"/>
  <c r="C49" i="30"/>
  <c r="K48" i="30"/>
  <c r="E48" i="30"/>
  <c r="D48" i="30"/>
  <c r="C48" i="30"/>
  <c r="K47" i="30"/>
  <c r="E47" i="30"/>
  <c r="D47" i="30"/>
  <c r="C47" i="30"/>
  <c r="K46" i="30"/>
  <c r="E46" i="30"/>
  <c r="D46" i="30"/>
  <c r="C46" i="30"/>
  <c r="K45" i="30"/>
  <c r="E45" i="30"/>
  <c r="D45" i="30"/>
  <c r="C45" i="30"/>
  <c r="K44" i="30"/>
  <c r="E44" i="30"/>
  <c r="D44" i="30"/>
  <c r="C44" i="30"/>
  <c r="K43" i="30"/>
  <c r="E43" i="30"/>
  <c r="D43" i="30"/>
  <c r="C43" i="30"/>
  <c r="K42" i="30"/>
  <c r="E42" i="30"/>
  <c r="D42" i="30"/>
  <c r="C42" i="30"/>
  <c r="K41" i="30"/>
  <c r="E41" i="30"/>
  <c r="D41" i="30"/>
  <c r="C41" i="30"/>
  <c r="K40" i="30"/>
  <c r="E40" i="30"/>
  <c r="D40" i="30"/>
  <c r="C40" i="30"/>
  <c r="K39" i="30"/>
  <c r="E39" i="30"/>
  <c r="D39" i="30"/>
  <c r="C39" i="30"/>
  <c r="K38" i="30"/>
  <c r="E38" i="30"/>
  <c r="D38" i="30"/>
  <c r="C38" i="30"/>
  <c r="K37" i="30"/>
  <c r="E37" i="30"/>
  <c r="D37" i="30"/>
  <c r="C37" i="30"/>
  <c r="K36" i="30"/>
  <c r="E36" i="30"/>
  <c r="D36" i="30"/>
  <c r="C36" i="30"/>
  <c r="K35" i="30"/>
  <c r="E35" i="30"/>
  <c r="D35" i="30"/>
  <c r="C35" i="30"/>
  <c r="K34" i="30"/>
  <c r="E34" i="30"/>
  <c r="D34" i="30"/>
  <c r="C34" i="30"/>
  <c r="K33" i="30"/>
  <c r="E33" i="30"/>
  <c r="D33" i="30"/>
  <c r="C33" i="30"/>
  <c r="K32" i="30"/>
  <c r="E32" i="30"/>
  <c r="D32" i="30"/>
  <c r="C32" i="30"/>
  <c r="K31" i="30"/>
  <c r="E31" i="30"/>
  <c r="D31" i="30"/>
  <c r="C31" i="30"/>
  <c r="K30" i="30"/>
  <c r="E30" i="30"/>
  <c r="D30" i="30"/>
  <c r="C30" i="30"/>
  <c r="K29" i="30"/>
  <c r="E29" i="30"/>
  <c r="D29" i="30"/>
  <c r="C29" i="30"/>
  <c r="K28" i="30"/>
  <c r="E28" i="30"/>
  <c r="D28" i="30"/>
  <c r="C28" i="30"/>
  <c r="K27" i="30"/>
  <c r="E27" i="30"/>
  <c r="D27" i="30"/>
  <c r="C27" i="30"/>
  <c r="K26" i="30"/>
  <c r="E26" i="30"/>
  <c r="D26" i="30"/>
  <c r="C26" i="30"/>
  <c r="K25" i="30"/>
  <c r="E25" i="30"/>
  <c r="D25" i="30"/>
  <c r="C25" i="30"/>
  <c r="K24" i="30"/>
  <c r="E24" i="30"/>
  <c r="D24" i="30"/>
  <c r="C24" i="30"/>
  <c r="K23" i="30"/>
  <c r="E23" i="30"/>
  <c r="D23" i="30"/>
  <c r="C23" i="30"/>
  <c r="K22" i="30"/>
  <c r="E22" i="30"/>
  <c r="D22" i="30"/>
  <c r="C22" i="30"/>
  <c r="K21" i="30"/>
  <c r="E21" i="30"/>
  <c r="D21" i="30"/>
  <c r="C21" i="30"/>
  <c r="K20" i="30"/>
  <c r="E20" i="30"/>
  <c r="D20" i="30"/>
  <c r="C20" i="30"/>
  <c r="K19" i="30"/>
  <c r="E19" i="30"/>
  <c r="D19" i="30"/>
  <c r="C19" i="30"/>
  <c r="K18" i="30"/>
  <c r="E18" i="30"/>
  <c r="D18" i="30"/>
  <c r="C18" i="30"/>
  <c r="K17" i="30"/>
  <c r="E17" i="30"/>
  <c r="D17" i="30"/>
  <c r="C17" i="30"/>
  <c r="K16" i="30"/>
  <c r="E16" i="30"/>
  <c r="D16" i="30"/>
  <c r="C16" i="30"/>
  <c r="K15" i="30"/>
  <c r="E15" i="30"/>
  <c r="D15" i="30"/>
  <c r="C15" i="30"/>
  <c r="K14" i="30"/>
  <c r="E14" i="30"/>
  <c r="D14" i="30"/>
  <c r="C14" i="30"/>
  <c r="K13" i="30"/>
  <c r="E13" i="30"/>
  <c r="D13" i="30"/>
  <c r="C13" i="30"/>
  <c r="K12" i="30"/>
  <c r="E12" i="30"/>
  <c r="D12" i="30"/>
  <c r="C12" i="30"/>
  <c r="K11" i="30"/>
  <c r="E11" i="30"/>
  <c r="D11" i="30"/>
  <c r="C11" i="30"/>
  <c r="K10" i="30"/>
  <c r="E10" i="30"/>
  <c r="D10" i="30"/>
  <c r="C10" i="30"/>
  <c r="K9" i="30"/>
  <c r="E9" i="30"/>
  <c r="D9" i="30"/>
  <c r="C9" i="30"/>
  <c r="K8" i="30"/>
  <c r="O330" i="29"/>
  <c r="N330" i="29"/>
  <c r="M330" i="29"/>
  <c r="L330" i="29"/>
  <c r="K330" i="29"/>
  <c r="T324" i="29"/>
  <c r="F324" i="29" s="1"/>
  <c r="R324" i="29"/>
  <c r="D324" i="29" s="1"/>
  <c r="S323" i="29"/>
  <c r="E323" i="29" s="1"/>
  <c r="R323" i="29"/>
  <c r="D323" i="29" s="1"/>
  <c r="Q323" i="29"/>
  <c r="C323" i="29" s="1"/>
  <c r="U322" i="29"/>
  <c r="G322" i="29" s="1"/>
  <c r="S322" i="29"/>
  <c r="E322" i="29" s="1"/>
  <c r="R322" i="29"/>
  <c r="D322" i="29" s="1"/>
  <c r="U321" i="29"/>
  <c r="G321" i="29" s="1"/>
  <c r="T321" i="29"/>
  <c r="F321" i="29" s="1"/>
  <c r="S321" i="29"/>
  <c r="E321" i="29" s="1"/>
  <c r="R321" i="29"/>
  <c r="D321" i="29" s="1"/>
  <c r="Q321" i="29"/>
  <c r="C321" i="29" s="1"/>
  <c r="S320" i="29"/>
  <c r="E320" i="29" s="1"/>
  <c r="R320" i="29"/>
  <c r="D320" i="29" s="1"/>
  <c r="T319" i="29"/>
  <c r="F319" i="29" s="1"/>
  <c r="S319" i="29"/>
  <c r="E319" i="29" s="1"/>
  <c r="R319" i="29"/>
  <c r="D319" i="29" s="1"/>
  <c r="Q319" i="29"/>
  <c r="C319" i="29" s="1"/>
  <c r="T318" i="29"/>
  <c r="F318" i="29" s="1"/>
  <c r="S318" i="29"/>
  <c r="E318" i="29" s="1"/>
  <c r="T317" i="29"/>
  <c r="F317" i="29" s="1"/>
  <c r="S317" i="29"/>
  <c r="E317" i="29" s="1"/>
  <c r="Q317" i="29"/>
  <c r="C317" i="29" s="1"/>
  <c r="U316" i="29"/>
  <c r="G316" i="29" s="1"/>
  <c r="S316" i="29"/>
  <c r="E316" i="29" s="1"/>
  <c r="O312" i="29"/>
  <c r="N312" i="29"/>
  <c r="M312" i="29"/>
  <c r="L312" i="29"/>
  <c r="K312" i="29"/>
  <c r="O311" i="29"/>
  <c r="N311" i="29"/>
  <c r="M311" i="29"/>
  <c r="L311" i="29"/>
  <c r="K311" i="29"/>
  <c r="O310" i="29"/>
  <c r="N310" i="29"/>
  <c r="M310" i="29"/>
  <c r="L310" i="29"/>
  <c r="K310" i="29"/>
  <c r="O309" i="29"/>
  <c r="N309" i="29"/>
  <c r="M309" i="29"/>
  <c r="L309" i="29"/>
  <c r="K309" i="29"/>
  <c r="O308" i="29"/>
  <c r="N308" i="29"/>
  <c r="M308" i="29"/>
  <c r="L308" i="29"/>
  <c r="K308" i="29"/>
  <c r="O307" i="29"/>
  <c r="N307" i="29"/>
  <c r="M307" i="29"/>
  <c r="L307" i="29"/>
  <c r="K307" i="29"/>
  <c r="O306" i="29"/>
  <c r="N306" i="29"/>
  <c r="M306" i="29"/>
  <c r="L306" i="29"/>
  <c r="K306" i="29"/>
  <c r="O305" i="29"/>
  <c r="N305" i="29"/>
  <c r="M305" i="29"/>
  <c r="L305" i="29"/>
  <c r="K305" i="29"/>
  <c r="O304" i="29"/>
  <c r="N304" i="29"/>
  <c r="M304" i="29"/>
  <c r="L304" i="29"/>
  <c r="K304" i="29"/>
  <c r="O303" i="29"/>
  <c r="N303" i="29"/>
  <c r="M303" i="29"/>
  <c r="L303" i="29"/>
  <c r="K303" i="29"/>
  <c r="O302" i="29"/>
  <c r="N302" i="29"/>
  <c r="M302" i="29"/>
  <c r="L302" i="29"/>
  <c r="K302" i="29"/>
  <c r="O301" i="29"/>
  <c r="N301" i="29"/>
  <c r="M301" i="29"/>
  <c r="L301" i="29"/>
  <c r="K301" i="29"/>
  <c r="O300" i="29"/>
  <c r="N300" i="29"/>
  <c r="M300" i="29"/>
  <c r="L300" i="29"/>
  <c r="K300" i="29"/>
  <c r="O299" i="29"/>
  <c r="N299" i="29"/>
  <c r="M299" i="29"/>
  <c r="L299" i="29"/>
  <c r="K299" i="29"/>
  <c r="O298" i="29"/>
  <c r="N298" i="29"/>
  <c r="M298" i="29"/>
  <c r="L298" i="29"/>
  <c r="K298" i="29"/>
  <c r="O297" i="29"/>
  <c r="N297" i="29"/>
  <c r="M297" i="29"/>
  <c r="L297" i="29"/>
  <c r="K297" i="29"/>
  <c r="O296" i="29"/>
  <c r="N296" i="29"/>
  <c r="M296" i="29"/>
  <c r="L296" i="29"/>
  <c r="K296" i="29"/>
  <c r="O295" i="29"/>
  <c r="N295" i="29"/>
  <c r="M295" i="29"/>
  <c r="L295" i="29"/>
  <c r="K295" i="29"/>
  <c r="O294" i="29"/>
  <c r="N294" i="29"/>
  <c r="M294" i="29"/>
  <c r="L294" i="29"/>
  <c r="K294" i="29"/>
  <c r="O293" i="29"/>
  <c r="N293" i="29"/>
  <c r="M293" i="29"/>
  <c r="L293" i="29"/>
  <c r="K293" i="29"/>
  <c r="O292" i="29"/>
  <c r="N292" i="29"/>
  <c r="M292" i="29"/>
  <c r="L292" i="29"/>
  <c r="K292" i="29"/>
  <c r="O291" i="29"/>
  <c r="N291" i="29"/>
  <c r="M291" i="29"/>
  <c r="L291" i="29"/>
  <c r="K291" i="29"/>
  <c r="O290" i="29"/>
  <c r="N290" i="29"/>
  <c r="M290" i="29"/>
  <c r="L290" i="29"/>
  <c r="K290" i="29"/>
  <c r="O289" i="29"/>
  <c r="N289" i="29"/>
  <c r="M289" i="29"/>
  <c r="L289" i="29"/>
  <c r="K289" i="29"/>
  <c r="O288" i="29"/>
  <c r="N288" i="29"/>
  <c r="M288" i="29"/>
  <c r="L288" i="29"/>
  <c r="K288" i="29"/>
  <c r="O287" i="29"/>
  <c r="N287" i="29"/>
  <c r="M287" i="29"/>
  <c r="L287" i="29"/>
  <c r="K287" i="29"/>
  <c r="O286" i="29"/>
  <c r="N286" i="29"/>
  <c r="M286" i="29"/>
  <c r="L286" i="29"/>
  <c r="K286" i="29"/>
  <c r="O285" i="29"/>
  <c r="N285" i="29"/>
  <c r="M285" i="29"/>
  <c r="L285" i="29"/>
  <c r="K285" i="29"/>
  <c r="O284" i="29"/>
  <c r="N284" i="29"/>
  <c r="M284" i="29"/>
  <c r="L284" i="29"/>
  <c r="K284" i="29"/>
  <c r="O283" i="29"/>
  <c r="N283" i="29"/>
  <c r="M283" i="29"/>
  <c r="L283" i="29"/>
  <c r="K283" i="29"/>
  <c r="O282" i="29"/>
  <c r="N282" i="29"/>
  <c r="M282" i="29"/>
  <c r="L282" i="29"/>
  <c r="K282" i="29"/>
  <c r="O281" i="29"/>
  <c r="N281" i="29"/>
  <c r="M281" i="29"/>
  <c r="L281" i="29"/>
  <c r="K281" i="29"/>
  <c r="O280" i="29"/>
  <c r="N280" i="29"/>
  <c r="M280" i="29"/>
  <c r="L280" i="29"/>
  <c r="K280" i="29"/>
  <c r="O279" i="29"/>
  <c r="N279" i="29"/>
  <c r="M279" i="29"/>
  <c r="L279" i="29"/>
  <c r="K279" i="29"/>
  <c r="O278" i="29"/>
  <c r="N278" i="29"/>
  <c r="M278" i="29"/>
  <c r="L278" i="29"/>
  <c r="K278" i="29"/>
  <c r="O277" i="29"/>
  <c r="N277" i="29"/>
  <c r="M277" i="29"/>
  <c r="L277" i="29"/>
  <c r="K277" i="29"/>
  <c r="O276" i="29"/>
  <c r="N276" i="29"/>
  <c r="M276" i="29"/>
  <c r="L276" i="29"/>
  <c r="K276" i="29"/>
  <c r="O275" i="29"/>
  <c r="N275" i="29"/>
  <c r="M275" i="29"/>
  <c r="L275" i="29"/>
  <c r="K275" i="29"/>
  <c r="O274" i="29"/>
  <c r="N274" i="29"/>
  <c r="M274" i="29"/>
  <c r="L274" i="29"/>
  <c r="K274" i="29"/>
  <c r="O273" i="29"/>
  <c r="N273" i="29"/>
  <c r="M273" i="29"/>
  <c r="L273" i="29"/>
  <c r="K273" i="29"/>
  <c r="O272" i="29"/>
  <c r="N272" i="29"/>
  <c r="M272" i="29"/>
  <c r="L272" i="29"/>
  <c r="K272" i="29"/>
  <c r="O271" i="29"/>
  <c r="N271" i="29"/>
  <c r="M271" i="29"/>
  <c r="L271" i="29"/>
  <c r="K271" i="29"/>
  <c r="O270" i="29"/>
  <c r="N270" i="29"/>
  <c r="M270" i="29"/>
  <c r="L270" i="29"/>
  <c r="K270" i="29"/>
  <c r="O269" i="29"/>
  <c r="N269" i="29"/>
  <c r="M269" i="29"/>
  <c r="L269" i="29"/>
  <c r="K269" i="29"/>
  <c r="O268" i="29"/>
  <c r="N268" i="29"/>
  <c r="M268" i="29"/>
  <c r="L268" i="29"/>
  <c r="K268" i="29"/>
  <c r="O267" i="29"/>
  <c r="N267" i="29"/>
  <c r="M267" i="29"/>
  <c r="L267" i="29"/>
  <c r="K267" i="29"/>
  <c r="O266" i="29"/>
  <c r="N266" i="29"/>
  <c r="M266" i="29"/>
  <c r="L266" i="29"/>
  <c r="K266" i="29"/>
  <c r="O265" i="29"/>
  <c r="N265" i="29"/>
  <c r="M265" i="29"/>
  <c r="L265" i="29"/>
  <c r="K265" i="29"/>
  <c r="O264" i="29"/>
  <c r="N264" i="29"/>
  <c r="M264" i="29"/>
  <c r="L264" i="29"/>
  <c r="K264" i="29"/>
  <c r="O263" i="29"/>
  <c r="N263" i="29"/>
  <c r="M263" i="29"/>
  <c r="L263" i="29"/>
  <c r="K263" i="29"/>
  <c r="O262" i="29"/>
  <c r="N262" i="29"/>
  <c r="M262" i="29"/>
  <c r="L262" i="29"/>
  <c r="K262" i="29"/>
  <c r="O261" i="29"/>
  <c r="N261" i="29"/>
  <c r="M261" i="29"/>
  <c r="L261" i="29"/>
  <c r="K261" i="29"/>
  <c r="O260" i="29"/>
  <c r="N260" i="29"/>
  <c r="M260" i="29"/>
  <c r="L260" i="29"/>
  <c r="K260" i="29"/>
  <c r="O259" i="29"/>
  <c r="N259" i="29"/>
  <c r="M259" i="29"/>
  <c r="L259" i="29"/>
  <c r="K259" i="29"/>
  <c r="O258" i="29"/>
  <c r="N258" i="29"/>
  <c r="M258" i="29"/>
  <c r="L258" i="29"/>
  <c r="K258" i="29"/>
  <c r="O257" i="29"/>
  <c r="N257" i="29"/>
  <c r="M257" i="29"/>
  <c r="L257" i="29"/>
  <c r="K257" i="29"/>
  <c r="O256" i="29"/>
  <c r="N256" i="29"/>
  <c r="M256" i="29"/>
  <c r="L256" i="29"/>
  <c r="K256" i="29"/>
  <c r="O255" i="29"/>
  <c r="N255" i="29"/>
  <c r="M255" i="29"/>
  <c r="L255" i="29"/>
  <c r="K255" i="29"/>
  <c r="O254" i="29"/>
  <c r="N254" i="29"/>
  <c r="M254" i="29"/>
  <c r="L254" i="29"/>
  <c r="K254" i="29"/>
  <c r="O253" i="29"/>
  <c r="N253" i="29"/>
  <c r="M253" i="29"/>
  <c r="L253" i="29"/>
  <c r="K253" i="29"/>
  <c r="O252" i="29"/>
  <c r="N252" i="29"/>
  <c r="M252" i="29"/>
  <c r="L252" i="29"/>
  <c r="K252" i="29"/>
  <c r="O251" i="29"/>
  <c r="N251" i="29"/>
  <c r="M251" i="29"/>
  <c r="L251" i="29"/>
  <c r="K251" i="29"/>
  <c r="O250" i="29"/>
  <c r="N250" i="29"/>
  <c r="M250" i="29"/>
  <c r="L250" i="29"/>
  <c r="K250" i="29"/>
  <c r="O249" i="29"/>
  <c r="N249" i="29"/>
  <c r="M249" i="29"/>
  <c r="L249" i="29"/>
  <c r="K249" i="29"/>
  <c r="O248" i="29"/>
  <c r="N248" i="29"/>
  <c r="M248" i="29"/>
  <c r="L248" i="29"/>
  <c r="K248" i="29"/>
  <c r="O247" i="29"/>
  <c r="N247" i="29"/>
  <c r="M247" i="29"/>
  <c r="L247" i="29"/>
  <c r="K247" i="29"/>
  <c r="O246" i="29"/>
  <c r="N246" i="29"/>
  <c r="M246" i="29"/>
  <c r="L246" i="29"/>
  <c r="K246" i="29"/>
  <c r="O245" i="29"/>
  <c r="N245" i="29"/>
  <c r="M245" i="29"/>
  <c r="L245" i="29"/>
  <c r="K245" i="29"/>
  <c r="O244" i="29"/>
  <c r="N244" i="29"/>
  <c r="M244" i="29"/>
  <c r="L244" i="29"/>
  <c r="K244" i="29"/>
  <c r="O243" i="29"/>
  <c r="N243" i="29"/>
  <c r="M243" i="29"/>
  <c r="L243" i="29"/>
  <c r="K243" i="29"/>
  <c r="O242" i="29"/>
  <c r="N242" i="29"/>
  <c r="M242" i="29"/>
  <c r="L242" i="29"/>
  <c r="K242" i="29"/>
  <c r="O241" i="29"/>
  <c r="N241" i="29"/>
  <c r="M241" i="29"/>
  <c r="L241" i="29"/>
  <c r="K241" i="29"/>
  <c r="O240" i="29"/>
  <c r="N240" i="29"/>
  <c r="M240" i="29"/>
  <c r="L240" i="29"/>
  <c r="K240" i="29"/>
  <c r="O239" i="29"/>
  <c r="N239" i="29"/>
  <c r="M239" i="29"/>
  <c r="L239" i="29"/>
  <c r="K239" i="29"/>
  <c r="O238" i="29"/>
  <c r="N238" i="29"/>
  <c r="M238" i="29"/>
  <c r="L238" i="29"/>
  <c r="K238" i="29"/>
  <c r="O237" i="29"/>
  <c r="N237" i="29"/>
  <c r="M237" i="29"/>
  <c r="L237" i="29"/>
  <c r="K237" i="29"/>
  <c r="O236" i="29"/>
  <c r="N236" i="29"/>
  <c r="M236" i="29"/>
  <c r="L236" i="29"/>
  <c r="K236" i="29"/>
  <c r="O235" i="29"/>
  <c r="N235" i="29"/>
  <c r="M235" i="29"/>
  <c r="L235" i="29"/>
  <c r="K235" i="29"/>
  <c r="O234" i="29"/>
  <c r="N234" i="29"/>
  <c r="M234" i="29"/>
  <c r="L234" i="29"/>
  <c r="K234" i="29"/>
  <c r="O233" i="29"/>
  <c r="N233" i="29"/>
  <c r="M233" i="29"/>
  <c r="L233" i="29"/>
  <c r="K233" i="29"/>
  <c r="O232" i="29"/>
  <c r="N232" i="29"/>
  <c r="M232" i="29"/>
  <c r="L232" i="29"/>
  <c r="K232" i="29"/>
  <c r="O231" i="29"/>
  <c r="N231" i="29"/>
  <c r="M231" i="29"/>
  <c r="L231" i="29"/>
  <c r="K231" i="29"/>
  <c r="O230" i="29"/>
  <c r="N230" i="29"/>
  <c r="M230" i="29"/>
  <c r="L230" i="29"/>
  <c r="K230" i="29"/>
  <c r="O229" i="29"/>
  <c r="N229" i="29"/>
  <c r="M229" i="29"/>
  <c r="L229" i="29"/>
  <c r="K229" i="29"/>
  <c r="O228" i="29"/>
  <c r="N228" i="29"/>
  <c r="M228" i="29"/>
  <c r="L228" i="29"/>
  <c r="K228" i="29"/>
  <c r="O227" i="29"/>
  <c r="N227" i="29"/>
  <c r="M227" i="29"/>
  <c r="L227" i="29"/>
  <c r="K227" i="29"/>
  <c r="O226" i="29"/>
  <c r="N226" i="29"/>
  <c r="M226" i="29"/>
  <c r="L226" i="29"/>
  <c r="K226" i="29"/>
  <c r="O225" i="29"/>
  <c r="N225" i="29"/>
  <c r="M225" i="29"/>
  <c r="L225" i="29"/>
  <c r="K225" i="29"/>
  <c r="O224" i="29"/>
  <c r="N224" i="29"/>
  <c r="M224" i="29"/>
  <c r="L224" i="29"/>
  <c r="K224" i="29"/>
  <c r="O223" i="29"/>
  <c r="N223" i="29"/>
  <c r="M223" i="29"/>
  <c r="L223" i="29"/>
  <c r="K223" i="29"/>
  <c r="O222" i="29"/>
  <c r="N222" i="29"/>
  <c r="M222" i="29"/>
  <c r="L222" i="29"/>
  <c r="K222" i="29"/>
  <c r="O221" i="29"/>
  <c r="N221" i="29"/>
  <c r="M221" i="29"/>
  <c r="L221" i="29"/>
  <c r="K221" i="29"/>
  <c r="O220" i="29"/>
  <c r="N220" i="29"/>
  <c r="M220" i="29"/>
  <c r="L220" i="29"/>
  <c r="K220" i="29"/>
  <c r="O219" i="29"/>
  <c r="N219" i="29"/>
  <c r="M219" i="29"/>
  <c r="L219" i="29"/>
  <c r="K219" i="29"/>
  <c r="O218" i="29"/>
  <c r="N218" i="29"/>
  <c r="M218" i="29"/>
  <c r="L218" i="29"/>
  <c r="K218" i="29"/>
  <c r="O217" i="29"/>
  <c r="N217" i="29"/>
  <c r="M217" i="29"/>
  <c r="L217" i="29"/>
  <c r="K217" i="29"/>
  <c r="O216" i="29"/>
  <c r="N216" i="29"/>
  <c r="M216" i="29"/>
  <c r="L216" i="29"/>
  <c r="K216" i="29"/>
  <c r="O215" i="29"/>
  <c r="N215" i="29"/>
  <c r="M215" i="29"/>
  <c r="L215" i="29"/>
  <c r="K215" i="29"/>
  <c r="O214" i="29"/>
  <c r="N214" i="29"/>
  <c r="M214" i="29"/>
  <c r="L214" i="29"/>
  <c r="K214" i="29"/>
  <c r="O213" i="29"/>
  <c r="N213" i="29"/>
  <c r="M213" i="29"/>
  <c r="L213" i="29"/>
  <c r="K213" i="29"/>
  <c r="O212" i="29"/>
  <c r="N212" i="29"/>
  <c r="M212" i="29"/>
  <c r="L212" i="29"/>
  <c r="K212" i="29"/>
  <c r="O211" i="29"/>
  <c r="N211" i="29"/>
  <c r="M211" i="29"/>
  <c r="L211" i="29"/>
  <c r="K211" i="29"/>
  <c r="O210" i="29"/>
  <c r="N210" i="29"/>
  <c r="M210" i="29"/>
  <c r="L210" i="29"/>
  <c r="K210" i="29"/>
  <c r="O209" i="29"/>
  <c r="N209" i="29"/>
  <c r="M209" i="29"/>
  <c r="L209" i="29"/>
  <c r="K209" i="29"/>
  <c r="O208" i="29"/>
  <c r="N208" i="29"/>
  <c r="M208" i="29"/>
  <c r="L208" i="29"/>
  <c r="K208" i="29"/>
  <c r="O207" i="29"/>
  <c r="N207" i="29"/>
  <c r="M207" i="29"/>
  <c r="L207" i="29"/>
  <c r="K207" i="29"/>
  <c r="O206" i="29"/>
  <c r="N206" i="29"/>
  <c r="M206" i="29"/>
  <c r="L206" i="29"/>
  <c r="K206" i="29"/>
  <c r="O205" i="29"/>
  <c r="N205" i="29"/>
  <c r="M205" i="29"/>
  <c r="L205" i="29"/>
  <c r="K205" i="29"/>
  <c r="O204" i="29"/>
  <c r="N204" i="29"/>
  <c r="M204" i="29"/>
  <c r="L204" i="29"/>
  <c r="K204" i="29"/>
  <c r="O203" i="29"/>
  <c r="N203" i="29"/>
  <c r="M203" i="29"/>
  <c r="L203" i="29"/>
  <c r="K203" i="29"/>
  <c r="O202" i="29"/>
  <c r="N202" i="29"/>
  <c r="M202" i="29"/>
  <c r="L202" i="29"/>
  <c r="K202" i="29"/>
  <c r="O201" i="29"/>
  <c r="N201" i="29"/>
  <c r="M201" i="29"/>
  <c r="L201" i="29"/>
  <c r="K201" i="29"/>
  <c r="O200" i="29"/>
  <c r="N200" i="29"/>
  <c r="M200" i="29"/>
  <c r="L200" i="29"/>
  <c r="K200" i="29"/>
  <c r="O199" i="29"/>
  <c r="N199" i="29"/>
  <c r="M199" i="29"/>
  <c r="L199" i="29"/>
  <c r="K199" i="29"/>
  <c r="O198" i="29"/>
  <c r="N198" i="29"/>
  <c r="M198" i="29"/>
  <c r="L198" i="29"/>
  <c r="K198" i="29"/>
  <c r="O197" i="29"/>
  <c r="N197" i="29"/>
  <c r="M197" i="29"/>
  <c r="L197" i="29"/>
  <c r="K197" i="29"/>
  <c r="O196" i="29"/>
  <c r="N196" i="29"/>
  <c r="M196" i="29"/>
  <c r="L196" i="29"/>
  <c r="K196" i="29"/>
  <c r="O195" i="29"/>
  <c r="N195" i="29"/>
  <c r="M195" i="29"/>
  <c r="L195" i="29"/>
  <c r="K195" i="29"/>
  <c r="O194" i="29"/>
  <c r="N194" i="29"/>
  <c r="M194" i="29"/>
  <c r="L194" i="29"/>
  <c r="K194" i="29"/>
  <c r="O193" i="29"/>
  <c r="N193" i="29"/>
  <c r="M193" i="29"/>
  <c r="L193" i="29"/>
  <c r="K193" i="29"/>
  <c r="O192" i="29"/>
  <c r="N192" i="29"/>
  <c r="M192" i="29"/>
  <c r="L192" i="29"/>
  <c r="K192" i="29"/>
  <c r="O191" i="29"/>
  <c r="N191" i="29"/>
  <c r="M191" i="29"/>
  <c r="L191" i="29"/>
  <c r="K191" i="29"/>
  <c r="O190" i="29"/>
  <c r="N190" i="29"/>
  <c r="M190" i="29"/>
  <c r="L190" i="29"/>
  <c r="K190" i="29"/>
  <c r="O189" i="29"/>
  <c r="N189" i="29"/>
  <c r="M189" i="29"/>
  <c r="L189" i="29"/>
  <c r="K189" i="29"/>
  <c r="O188" i="29"/>
  <c r="N188" i="29"/>
  <c r="M188" i="29"/>
  <c r="L188" i="29"/>
  <c r="K188" i="29"/>
  <c r="O187" i="29"/>
  <c r="N187" i="29"/>
  <c r="M187" i="29"/>
  <c r="L187" i="29"/>
  <c r="K187" i="29"/>
  <c r="O186" i="29"/>
  <c r="N186" i="29"/>
  <c r="M186" i="29"/>
  <c r="L186" i="29"/>
  <c r="K186" i="29"/>
  <c r="O185" i="29"/>
  <c r="N185" i="29"/>
  <c r="M185" i="29"/>
  <c r="L185" i="29"/>
  <c r="K185" i="29"/>
  <c r="O184" i="29"/>
  <c r="N184" i="29"/>
  <c r="M184" i="29"/>
  <c r="L184" i="29"/>
  <c r="K184" i="29"/>
  <c r="O183" i="29"/>
  <c r="N183" i="29"/>
  <c r="M183" i="29"/>
  <c r="L183" i="29"/>
  <c r="K183" i="29"/>
  <c r="O182" i="29"/>
  <c r="N182" i="29"/>
  <c r="M182" i="29"/>
  <c r="L182" i="29"/>
  <c r="K182" i="29"/>
  <c r="O181" i="29"/>
  <c r="N181" i="29"/>
  <c r="M181" i="29"/>
  <c r="L181" i="29"/>
  <c r="K181" i="29"/>
  <c r="O180" i="29"/>
  <c r="N180" i="29"/>
  <c r="M180" i="29"/>
  <c r="L180" i="29"/>
  <c r="K180" i="29"/>
  <c r="O179" i="29"/>
  <c r="N179" i="29"/>
  <c r="M179" i="29"/>
  <c r="L179" i="29"/>
  <c r="K179" i="29"/>
  <c r="O178" i="29"/>
  <c r="N178" i="29"/>
  <c r="M178" i="29"/>
  <c r="L178" i="29"/>
  <c r="K178" i="29"/>
  <c r="O177" i="29"/>
  <c r="N177" i="29"/>
  <c r="M177" i="29"/>
  <c r="L177" i="29"/>
  <c r="K177" i="29"/>
  <c r="O176" i="29"/>
  <c r="N176" i="29"/>
  <c r="M176" i="29"/>
  <c r="L176" i="29"/>
  <c r="K176" i="29"/>
  <c r="O175" i="29"/>
  <c r="N175" i="29"/>
  <c r="M175" i="29"/>
  <c r="L175" i="29"/>
  <c r="K175" i="29"/>
  <c r="O174" i="29"/>
  <c r="N174" i="29"/>
  <c r="M174" i="29"/>
  <c r="L174" i="29"/>
  <c r="K174" i="29"/>
  <c r="O173" i="29"/>
  <c r="N173" i="29"/>
  <c r="M173" i="29"/>
  <c r="L173" i="29"/>
  <c r="K173" i="29"/>
  <c r="O172" i="29"/>
  <c r="N172" i="29"/>
  <c r="M172" i="29"/>
  <c r="L172" i="29"/>
  <c r="K172" i="29"/>
  <c r="O171" i="29"/>
  <c r="N171" i="29"/>
  <c r="M171" i="29"/>
  <c r="L171" i="29"/>
  <c r="K171" i="29"/>
  <c r="O170" i="29"/>
  <c r="N170" i="29"/>
  <c r="M170" i="29"/>
  <c r="L170" i="29"/>
  <c r="K170" i="29"/>
  <c r="O169" i="29"/>
  <c r="N169" i="29"/>
  <c r="M169" i="29"/>
  <c r="L169" i="29"/>
  <c r="K169" i="29"/>
  <c r="O168" i="29"/>
  <c r="N168" i="29"/>
  <c r="M168" i="29"/>
  <c r="L168" i="29"/>
  <c r="K168" i="29"/>
  <c r="O167" i="29"/>
  <c r="N167" i="29"/>
  <c r="M167" i="29"/>
  <c r="L167" i="29"/>
  <c r="K167" i="29"/>
  <c r="O166" i="29"/>
  <c r="N166" i="29"/>
  <c r="M166" i="29"/>
  <c r="L166" i="29"/>
  <c r="K166" i="29"/>
  <c r="O165" i="29"/>
  <c r="N165" i="29"/>
  <c r="M165" i="29"/>
  <c r="L165" i="29"/>
  <c r="K165" i="29"/>
  <c r="O164" i="29"/>
  <c r="N164" i="29"/>
  <c r="M164" i="29"/>
  <c r="L164" i="29"/>
  <c r="K164" i="29"/>
  <c r="O163" i="29"/>
  <c r="N163" i="29"/>
  <c r="M163" i="29"/>
  <c r="L163" i="29"/>
  <c r="K163" i="29"/>
  <c r="O162" i="29"/>
  <c r="N162" i="29"/>
  <c r="M162" i="29"/>
  <c r="L162" i="29"/>
  <c r="K162" i="29"/>
  <c r="O161" i="29"/>
  <c r="N161" i="29"/>
  <c r="M161" i="29"/>
  <c r="L161" i="29"/>
  <c r="K161" i="29"/>
  <c r="O160" i="29"/>
  <c r="N160" i="29"/>
  <c r="M160" i="29"/>
  <c r="L160" i="29"/>
  <c r="K160" i="29"/>
  <c r="O159" i="29"/>
  <c r="N159" i="29"/>
  <c r="M159" i="29"/>
  <c r="L159" i="29"/>
  <c r="K159" i="29"/>
  <c r="O158" i="29"/>
  <c r="N158" i="29"/>
  <c r="M158" i="29"/>
  <c r="L158" i="29"/>
  <c r="K158" i="29"/>
  <c r="O157" i="29"/>
  <c r="N157" i="29"/>
  <c r="M157" i="29"/>
  <c r="L157" i="29"/>
  <c r="K157" i="29"/>
  <c r="O156" i="29"/>
  <c r="N156" i="29"/>
  <c r="M156" i="29"/>
  <c r="L156" i="29"/>
  <c r="K156" i="29"/>
  <c r="O155" i="29"/>
  <c r="N155" i="29"/>
  <c r="M155" i="29"/>
  <c r="L155" i="29"/>
  <c r="K155" i="29"/>
  <c r="O154" i="29"/>
  <c r="N154" i="29"/>
  <c r="M154" i="29"/>
  <c r="L154" i="29"/>
  <c r="K154" i="29"/>
  <c r="O153" i="29"/>
  <c r="N153" i="29"/>
  <c r="M153" i="29"/>
  <c r="L153" i="29"/>
  <c r="K153" i="29"/>
  <c r="O152" i="29"/>
  <c r="N152" i="29"/>
  <c r="M152" i="29"/>
  <c r="L152" i="29"/>
  <c r="K152" i="29"/>
  <c r="O151" i="29"/>
  <c r="N151" i="29"/>
  <c r="M151" i="29"/>
  <c r="L151" i="29"/>
  <c r="K151" i="29"/>
  <c r="O150" i="29"/>
  <c r="N150" i="29"/>
  <c r="M150" i="29"/>
  <c r="L150" i="29"/>
  <c r="K150" i="29"/>
  <c r="O149" i="29"/>
  <c r="N149" i="29"/>
  <c r="M149" i="29"/>
  <c r="L149" i="29"/>
  <c r="K149" i="29"/>
  <c r="O148" i="29"/>
  <c r="N148" i="29"/>
  <c r="M148" i="29"/>
  <c r="L148" i="29"/>
  <c r="K148" i="29"/>
  <c r="O147" i="29"/>
  <c r="N147" i="29"/>
  <c r="M147" i="29"/>
  <c r="L147" i="29"/>
  <c r="K147" i="29"/>
  <c r="O146" i="29"/>
  <c r="N146" i="29"/>
  <c r="M146" i="29"/>
  <c r="L146" i="29"/>
  <c r="K146" i="29"/>
  <c r="O145" i="29"/>
  <c r="N145" i="29"/>
  <c r="M145" i="29"/>
  <c r="L145" i="29"/>
  <c r="K145" i="29"/>
  <c r="O144" i="29"/>
  <c r="N144" i="29"/>
  <c r="M144" i="29"/>
  <c r="L144" i="29"/>
  <c r="K144" i="29"/>
  <c r="O143" i="29"/>
  <c r="N143" i="29"/>
  <c r="M143" i="29"/>
  <c r="L143" i="29"/>
  <c r="K143" i="29"/>
  <c r="O142" i="29"/>
  <c r="N142" i="29"/>
  <c r="M142" i="29"/>
  <c r="L142" i="29"/>
  <c r="K142" i="29"/>
  <c r="O141" i="29"/>
  <c r="N141" i="29"/>
  <c r="M141" i="29"/>
  <c r="L141" i="29"/>
  <c r="K141" i="29"/>
  <c r="O140" i="29"/>
  <c r="N140" i="29"/>
  <c r="M140" i="29"/>
  <c r="L140" i="29"/>
  <c r="K140" i="29"/>
  <c r="O139" i="29"/>
  <c r="N139" i="29"/>
  <c r="M139" i="29"/>
  <c r="L139" i="29"/>
  <c r="K139" i="29"/>
  <c r="O138" i="29"/>
  <c r="N138" i="29"/>
  <c r="M138" i="29"/>
  <c r="L138" i="29"/>
  <c r="K138" i="29"/>
  <c r="O137" i="29"/>
  <c r="N137" i="29"/>
  <c r="M137" i="29"/>
  <c r="L137" i="29"/>
  <c r="K137" i="29"/>
  <c r="O136" i="29"/>
  <c r="N136" i="29"/>
  <c r="M136" i="29"/>
  <c r="L136" i="29"/>
  <c r="K136" i="29"/>
  <c r="O135" i="29"/>
  <c r="N135" i="29"/>
  <c r="M135" i="29"/>
  <c r="L135" i="29"/>
  <c r="K135" i="29"/>
  <c r="O134" i="29"/>
  <c r="N134" i="29"/>
  <c r="M134" i="29"/>
  <c r="L134" i="29"/>
  <c r="K134" i="29"/>
  <c r="O133" i="29"/>
  <c r="N133" i="29"/>
  <c r="M133" i="29"/>
  <c r="L133" i="29"/>
  <c r="K133" i="29"/>
  <c r="O132" i="29"/>
  <c r="N132" i="29"/>
  <c r="M132" i="29"/>
  <c r="L132" i="29"/>
  <c r="K132" i="29"/>
  <c r="O131" i="29"/>
  <c r="N131" i="29"/>
  <c r="M131" i="29"/>
  <c r="L131" i="29"/>
  <c r="K131" i="29"/>
  <c r="O130" i="29"/>
  <c r="N130" i="29"/>
  <c r="M130" i="29"/>
  <c r="L130" i="29"/>
  <c r="K130" i="29"/>
  <c r="O129" i="29"/>
  <c r="N129" i="29"/>
  <c r="M129" i="29"/>
  <c r="L129" i="29"/>
  <c r="K129" i="29"/>
  <c r="O128" i="29"/>
  <c r="N128" i="29"/>
  <c r="M128" i="29"/>
  <c r="L128" i="29"/>
  <c r="K128" i="29"/>
  <c r="O127" i="29"/>
  <c r="N127" i="29"/>
  <c r="M127" i="29"/>
  <c r="L127" i="29"/>
  <c r="K127" i="29"/>
  <c r="O126" i="29"/>
  <c r="N126" i="29"/>
  <c r="M126" i="29"/>
  <c r="L126" i="29"/>
  <c r="K126" i="29"/>
  <c r="O125" i="29"/>
  <c r="N125" i="29"/>
  <c r="M125" i="29"/>
  <c r="L125" i="29"/>
  <c r="K125" i="29"/>
  <c r="O124" i="29"/>
  <c r="N124" i="29"/>
  <c r="M124" i="29"/>
  <c r="L124" i="29"/>
  <c r="K124" i="29"/>
  <c r="O123" i="29"/>
  <c r="N123" i="29"/>
  <c r="M123" i="29"/>
  <c r="L123" i="29"/>
  <c r="K123" i="29"/>
  <c r="O122" i="29"/>
  <c r="N122" i="29"/>
  <c r="M122" i="29"/>
  <c r="L122" i="29"/>
  <c r="K122" i="29"/>
  <c r="O121" i="29"/>
  <c r="N121" i="29"/>
  <c r="M121" i="29"/>
  <c r="L121" i="29"/>
  <c r="K121" i="29"/>
  <c r="O120" i="29"/>
  <c r="N120" i="29"/>
  <c r="M120" i="29"/>
  <c r="L120" i="29"/>
  <c r="K120" i="29"/>
  <c r="O119" i="29"/>
  <c r="N119" i="29"/>
  <c r="M119" i="29"/>
  <c r="L119" i="29"/>
  <c r="K119" i="29"/>
  <c r="O118" i="29"/>
  <c r="N118" i="29"/>
  <c r="M118" i="29"/>
  <c r="L118" i="29"/>
  <c r="K118" i="29"/>
  <c r="O117" i="29"/>
  <c r="N117" i="29"/>
  <c r="M117" i="29"/>
  <c r="L117" i="29"/>
  <c r="K117" i="29"/>
  <c r="O116" i="29"/>
  <c r="N116" i="29"/>
  <c r="M116" i="29"/>
  <c r="L116" i="29"/>
  <c r="K116" i="29"/>
  <c r="O115" i="29"/>
  <c r="N115" i="29"/>
  <c r="M115" i="29"/>
  <c r="L115" i="29"/>
  <c r="K115" i="29"/>
  <c r="O114" i="29"/>
  <c r="N114" i="29"/>
  <c r="M114" i="29"/>
  <c r="L114" i="29"/>
  <c r="K114" i="29"/>
  <c r="O113" i="29"/>
  <c r="N113" i="29"/>
  <c r="M113" i="29"/>
  <c r="L113" i="29"/>
  <c r="K113" i="29"/>
  <c r="O112" i="29"/>
  <c r="N112" i="29"/>
  <c r="M112" i="29"/>
  <c r="L112" i="29"/>
  <c r="K112" i="29"/>
  <c r="O111" i="29"/>
  <c r="N111" i="29"/>
  <c r="M111" i="29"/>
  <c r="L111" i="29"/>
  <c r="K111" i="29"/>
  <c r="O110" i="29"/>
  <c r="N110" i="29"/>
  <c r="M110" i="29"/>
  <c r="L110" i="29"/>
  <c r="K110" i="29"/>
  <c r="O109" i="29"/>
  <c r="N109" i="29"/>
  <c r="M109" i="29"/>
  <c r="L109" i="29"/>
  <c r="K109" i="29"/>
  <c r="O108" i="29"/>
  <c r="N108" i="29"/>
  <c r="M108" i="29"/>
  <c r="L108" i="29"/>
  <c r="K108" i="29"/>
  <c r="O107" i="29"/>
  <c r="N107" i="29"/>
  <c r="M107" i="29"/>
  <c r="L107" i="29"/>
  <c r="K107" i="29"/>
  <c r="O106" i="29"/>
  <c r="N106" i="29"/>
  <c r="M106" i="29"/>
  <c r="L106" i="29"/>
  <c r="K106" i="29"/>
  <c r="O105" i="29"/>
  <c r="N105" i="29"/>
  <c r="M105" i="29"/>
  <c r="L105" i="29"/>
  <c r="K105" i="29"/>
  <c r="O104" i="29"/>
  <c r="N104" i="29"/>
  <c r="M104" i="29"/>
  <c r="L104" i="29"/>
  <c r="K104" i="29"/>
  <c r="O103" i="29"/>
  <c r="N103" i="29"/>
  <c r="M103" i="29"/>
  <c r="L103" i="29"/>
  <c r="K103" i="29"/>
  <c r="O102" i="29"/>
  <c r="N102" i="29"/>
  <c r="M102" i="29"/>
  <c r="L102" i="29"/>
  <c r="K102" i="29"/>
  <c r="O101" i="29"/>
  <c r="N101" i="29"/>
  <c r="M101" i="29"/>
  <c r="L101" i="29"/>
  <c r="K101" i="29"/>
  <c r="O100" i="29"/>
  <c r="N100" i="29"/>
  <c r="M100" i="29"/>
  <c r="L100" i="29"/>
  <c r="K100" i="29"/>
  <c r="O99" i="29"/>
  <c r="N99" i="29"/>
  <c r="M99" i="29"/>
  <c r="L99" i="29"/>
  <c r="K99" i="29"/>
  <c r="O98" i="29"/>
  <c r="N98" i="29"/>
  <c r="M98" i="29"/>
  <c r="L98" i="29"/>
  <c r="K98" i="29"/>
  <c r="O97" i="29"/>
  <c r="N97" i="29"/>
  <c r="M97" i="29"/>
  <c r="L97" i="29"/>
  <c r="K97" i="29"/>
  <c r="O96" i="29"/>
  <c r="N96" i="29"/>
  <c r="M96" i="29"/>
  <c r="L96" i="29"/>
  <c r="K96" i="29"/>
  <c r="O95" i="29"/>
  <c r="N95" i="29"/>
  <c r="M95" i="29"/>
  <c r="L95" i="29"/>
  <c r="K95" i="29"/>
  <c r="O94" i="29"/>
  <c r="N94" i="29"/>
  <c r="M94" i="29"/>
  <c r="L94" i="29"/>
  <c r="K94" i="29"/>
  <c r="O93" i="29"/>
  <c r="N93" i="29"/>
  <c r="M93" i="29"/>
  <c r="L93" i="29"/>
  <c r="K93" i="29"/>
  <c r="O92" i="29"/>
  <c r="N92" i="29"/>
  <c r="M92" i="29"/>
  <c r="L92" i="29"/>
  <c r="K92" i="29"/>
  <c r="O91" i="29"/>
  <c r="N91" i="29"/>
  <c r="M91" i="29"/>
  <c r="L91" i="29"/>
  <c r="K91" i="29"/>
  <c r="O90" i="29"/>
  <c r="N90" i="29"/>
  <c r="M90" i="29"/>
  <c r="L90" i="29"/>
  <c r="K90" i="29"/>
  <c r="O89" i="29"/>
  <c r="N89" i="29"/>
  <c r="M89" i="29"/>
  <c r="L89" i="29"/>
  <c r="K89" i="29"/>
  <c r="O88" i="29"/>
  <c r="N88" i="29"/>
  <c r="M88" i="29"/>
  <c r="L88" i="29"/>
  <c r="K88" i="29"/>
  <c r="O87" i="29"/>
  <c r="N87" i="29"/>
  <c r="M87" i="29"/>
  <c r="L87" i="29"/>
  <c r="K87" i="29"/>
  <c r="O86" i="29"/>
  <c r="N86" i="29"/>
  <c r="M86" i="29"/>
  <c r="L86" i="29"/>
  <c r="K86" i="29"/>
  <c r="O85" i="29"/>
  <c r="N85" i="29"/>
  <c r="M85" i="29"/>
  <c r="L85" i="29"/>
  <c r="K85" i="29"/>
  <c r="O84" i="29"/>
  <c r="N84" i="29"/>
  <c r="M84" i="29"/>
  <c r="L84" i="29"/>
  <c r="K84" i="29"/>
  <c r="O83" i="29"/>
  <c r="N83" i="29"/>
  <c r="M83" i="29"/>
  <c r="L83" i="29"/>
  <c r="K83" i="29"/>
  <c r="O82" i="29"/>
  <c r="N82" i="29"/>
  <c r="M82" i="29"/>
  <c r="L82" i="29"/>
  <c r="K82" i="29"/>
  <c r="O81" i="29"/>
  <c r="N81" i="29"/>
  <c r="M81" i="29"/>
  <c r="L81" i="29"/>
  <c r="K81" i="29"/>
  <c r="O80" i="29"/>
  <c r="N80" i="29"/>
  <c r="M80" i="29"/>
  <c r="L80" i="29"/>
  <c r="K80" i="29"/>
  <c r="O79" i="29"/>
  <c r="N79" i="29"/>
  <c r="M79" i="29"/>
  <c r="L79" i="29"/>
  <c r="K79" i="29"/>
  <c r="O78" i="29"/>
  <c r="N78" i="29"/>
  <c r="M78" i="29"/>
  <c r="L78" i="29"/>
  <c r="K78" i="29"/>
  <c r="O77" i="29"/>
  <c r="N77" i="29"/>
  <c r="M77" i="29"/>
  <c r="L77" i="29"/>
  <c r="K77" i="29"/>
  <c r="O76" i="29"/>
  <c r="N76" i="29"/>
  <c r="M76" i="29"/>
  <c r="L76" i="29"/>
  <c r="K76" i="29"/>
  <c r="O75" i="29"/>
  <c r="N75" i="29"/>
  <c r="M75" i="29"/>
  <c r="L75" i="29"/>
  <c r="K75" i="29"/>
  <c r="O74" i="29"/>
  <c r="N74" i="29"/>
  <c r="M74" i="29"/>
  <c r="L74" i="29"/>
  <c r="K74" i="29"/>
  <c r="O73" i="29"/>
  <c r="N73" i="29"/>
  <c r="M73" i="29"/>
  <c r="L73" i="29"/>
  <c r="K73" i="29"/>
  <c r="O72" i="29"/>
  <c r="N72" i="29"/>
  <c r="M72" i="29"/>
  <c r="L72" i="29"/>
  <c r="K72" i="29"/>
  <c r="O71" i="29"/>
  <c r="N71" i="29"/>
  <c r="M71" i="29"/>
  <c r="L71" i="29"/>
  <c r="K71" i="29"/>
  <c r="O70" i="29"/>
  <c r="N70" i="29"/>
  <c r="M70" i="29"/>
  <c r="L70" i="29"/>
  <c r="K70" i="29"/>
  <c r="O69" i="29"/>
  <c r="N69" i="29"/>
  <c r="M69" i="29"/>
  <c r="L69" i="29"/>
  <c r="K69" i="29"/>
  <c r="O68" i="29"/>
  <c r="N68" i="29"/>
  <c r="M68" i="29"/>
  <c r="L68" i="29"/>
  <c r="K68" i="29"/>
  <c r="O67" i="29"/>
  <c r="N67" i="29"/>
  <c r="M67" i="29"/>
  <c r="L67" i="29"/>
  <c r="K67" i="29"/>
  <c r="O66" i="29"/>
  <c r="N66" i="29"/>
  <c r="M66" i="29"/>
  <c r="L66" i="29"/>
  <c r="K66" i="29"/>
  <c r="O65" i="29"/>
  <c r="N65" i="29"/>
  <c r="M65" i="29"/>
  <c r="L65" i="29"/>
  <c r="K65" i="29"/>
  <c r="O64" i="29"/>
  <c r="N64" i="29"/>
  <c r="M64" i="29"/>
  <c r="L64" i="29"/>
  <c r="K64" i="29"/>
  <c r="O63" i="29"/>
  <c r="N63" i="29"/>
  <c r="M63" i="29"/>
  <c r="L63" i="29"/>
  <c r="K63" i="29"/>
  <c r="O62" i="29"/>
  <c r="N62" i="29"/>
  <c r="M62" i="29"/>
  <c r="L62" i="29"/>
  <c r="K62" i="29"/>
  <c r="O61" i="29"/>
  <c r="N61" i="29"/>
  <c r="M61" i="29"/>
  <c r="L61" i="29"/>
  <c r="K61" i="29"/>
  <c r="O60" i="29"/>
  <c r="N60" i="29"/>
  <c r="M60" i="29"/>
  <c r="L60" i="29"/>
  <c r="K60" i="29"/>
  <c r="O59" i="29"/>
  <c r="N59" i="29"/>
  <c r="M59" i="29"/>
  <c r="L59" i="29"/>
  <c r="K59" i="29"/>
  <c r="O58" i="29"/>
  <c r="N58" i="29"/>
  <c r="M58" i="29"/>
  <c r="L58" i="29"/>
  <c r="K58" i="29"/>
  <c r="O57" i="29"/>
  <c r="N57" i="29"/>
  <c r="M57" i="29"/>
  <c r="L57" i="29"/>
  <c r="K57" i="29"/>
  <c r="O56" i="29"/>
  <c r="N56" i="29"/>
  <c r="M56" i="29"/>
  <c r="L56" i="29"/>
  <c r="K56" i="29"/>
  <c r="O55" i="29"/>
  <c r="N55" i="29"/>
  <c r="M55" i="29"/>
  <c r="L55" i="29"/>
  <c r="K55" i="29"/>
  <c r="O54" i="29"/>
  <c r="N54" i="29"/>
  <c r="M54" i="29"/>
  <c r="L54" i="29"/>
  <c r="K54" i="29"/>
  <c r="O53" i="29"/>
  <c r="N53" i="29"/>
  <c r="M53" i="29"/>
  <c r="L53" i="29"/>
  <c r="K53" i="29"/>
  <c r="O52" i="29"/>
  <c r="N52" i="29"/>
  <c r="M52" i="29"/>
  <c r="L52" i="29"/>
  <c r="K52" i="29"/>
  <c r="O51" i="29"/>
  <c r="N51" i="29"/>
  <c r="M51" i="29"/>
  <c r="L51" i="29"/>
  <c r="K51" i="29"/>
  <c r="O50" i="29"/>
  <c r="N50" i="29"/>
  <c r="M50" i="29"/>
  <c r="L50" i="29"/>
  <c r="K50" i="29"/>
  <c r="O49" i="29"/>
  <c r="N49" i="29"/>
  <c r="M49" i="29"/>
  <c r="L49" i="29"/>
  <c r="K49" i="29"/>
  <c r="O48" i="29"/>
  <c r="N48" i="29"/>
  <c r="M48" i="29"/>
  <c r="L48" i="29"/>
  <c r="K48" i="29"/>
  <c r="O47" i="29"/>
  <c r="N47" i="29"/>
  <c r="M47" i="29"/>
  <c r="L47" i="29"/>
  <c r="K47" i="29"/>
  <c r="O46" i="29"/>
  <c r="N46" i="29"/>
  <c r="M46" i="29"/>
  <c r="L46" i="29"/>
  <c r="K46" i="29"/>
  <c r="O45" i="29"/>
  <c r="N45" i="29"/>
  <c r="M45" i="29"/>
  <c r="L45" i="29"/>
  <c r="K45" i="29"/>
  <c r="O44" i="29"/>
  <c r="N44" i="29"/>
  <c r="M44" i="29"/>
  <c r="L44" i="29"/>
  <c r="K44" i="29"/>
  <c r="O43" i="29"/>
  <c r="N43" i="29"/>
  <c r="M43" i="29"/>
  <c r="L43" i="29"/>
  <c r="K43" i="29"/>
  <c r="O42" i="29"/>
  <c r="N42" i="29"/>
  <c r="M42" i="29"/>
  <c r="L42" i="29"/>
  <c r="K42" i="29"/>
  <c r="O41" i="29"/>
  <c r="N41" i="29"/>
  <c r="M41" i="29"/>
  <c r="L41" i="29"/>
  <c r="K41" i="29"/>
  <c r="O40" i="29"/>
  <c r="N40" i="29"/>
  <c r="M40" i="29"/>
  <c r="L40" i="29"/>
  <c r="K40" i="29"/>
  <c r="O39" i="29"/>
  <c r="N39" i="29"/>
  <c r="M39" i="29"/>
  <c r="L39" i="29"/>
  <c r="K39" i="29"/>
  <c r="O38" i="29"/>
  <c r="N38" i="29"/>
  <c r="M38" i="29"/>
  <c r="L38" i="29"/>
  <c r="K38" i="29"/>
  <c r="O37" i="29"/>
  <c r="N37" i="29"/>
  <c r="M37" i="29"/>
  <c r="L37" i="29"/>
  <c r="K37" i="29"/>
  <c r="O36" i="29"/>
  <c r="N36" i="29"/>
  <c r="M36" i="29"/>
  <c r="L36" i="29"/>
  <c r="K36" i="29"/>
  <c r="O35" i="29"/>
  <c r="N35" i="29"/>
  <c r="M35" i="29"/>
  <c r="L35" i="29"/>
  <c r="K35" i="29"/>
  <c r="O34" i="29"/>
  <c r="N34" i="29"/>
  <c r="M34" i="29"/>
  <c r="L34" i="29"/>
  <c r="K34" i="29"/>
  <c r="O33" i="29"/>
  <c r="N33" i="29"/>
  <c r="M33" i="29"/>
  <c r="L33" i="29"/>
  <c r="K33" i="29"/>
  <c r="O32" i="29"/>
  <c r="N32" i="29"/>
  <c r="M32" i="29"/>
  <c r="L32" i="29"/>
  <c r="K32" i="29"/>
  <c r="O31" i="29"/>
  <c r="N31" i="29"/>
  <c r="M31" i="29"/>
  <c r="L31" i="29"/>
  <c r="K31" i="29"/>
  <c r="O30" i="29"/>
  <c r="N30" i="29"/>
  <c r="M30" i="29"/>
  <c r="L30" i="29"/>
  <c r="K30" i="29"/>
  <c r="O29" i="29"/>
  <c r="N29" i="29"/>
  <c r="M29" i="29"/>
  <c r="L29" i="29"/>
  <c r="K29" i="29"/>
  <c r="O28" i="29"/>
  <c r="N28" i="29"/>
  <c r="M28" i="29"/>
  <c r="L28" i="29"/>
  <c r="K28" i="29"/>
  <c r="O27" i="29"/>
  <c r="N27" i="29"/>
  <c r="M27" i="29"/>
  <c r="L27" i="29"/>
  <c r="K27" i="29"/>
  <c r="O26" i="29"/>
  <c r="N26" i="29"/>
  <c r="M26" i="29"/>
  <c r="L26" i="29"/>
  <c r="K26" i="29"/>
  <c r="O25" i="29"/>
  <c r="N25" i="29"/>
  <c r="M25" i="29"/>
  <c r="L25" i="29"/>
  <c r="K25" i="29"/>
  <c r="O24" i="29"/>
  <c r="N24" i="29"/>
  <c r="M24" i="29"/>
  <c r="L24" i="29"/>
  <c r="K24" i="29"/>
  <c r="O23" i="29"/>
  <c r="N23" i="29"/>
  <c r="M23" i="29"/>
  <c r="L23" i="29"/>
  <c r="K23" i="29"/>
  <c r="O22" i="29"/>
  <c r="N22" i="29"/>
  <c r="M22" i="29"/>
  <c r="L22" i="29"/>
  <c r="K22" i="29"/>
  <c r="O21" i="29"/>
  <c r="N21" i="29"/>
  <c r="M21" i="29"/>
  <c r="L21" i="29"/>
  <c r="K21" i="29"/>
  <c r="O20" i="29"/>
  <c r="N20" i="29"/>
  <c r="M20" i="29"/>
  <c r="L20" i="29"/>
  <c r="K20" i="29"/>
  <c r="O19" i="29"/>
  <c r="N19" i="29"/>
  <c r="M19" i="29"/>
  <c r="L19" i="29"/>
  <c r="K19" i="29"/>
  <c r="O18" i="29"/>
  <c r="N18" i="29"/>
  <c r="M18" i="29"/>
  <c r="L18" i="29"/>
  <c r="K18" i="29"/>
  <c r="O17" i="29"/>
  <c r="N17" i="29"/>
  <c r="M17" i="29"/>
  <c r="L17" i="29"/>
  <c r="K17" i="29"/>
  <c r="O16" i="29"/>
  <c r="N16" i="29"/>
  <c r="M16" i="29"/>
  <c r="L16" i="29"/>
  <c r="K16" i="29"/>
  <c r="O15" i="29"/>
  <c r="N15" i="29"/>
  <c r="M15" i="29"/>
  <c r="L15" i="29"/>
  <c r="K15" i="29"/>
  <c r="O14" i="29"/>
  <c r="N14" i="29"/>
  <c r="M14" i="29"/>
  <c r="L14" i="29"/>
  <c r="K14" i="29"/>
  <c r="O13" i="29"/>
  <c r="N13" i="29"/>
  <c r="M13" i="29"/>
  <c r="L13" i="29"/>
  <c r="K13" i="29"/>
  <c r="O12" i="29"/>
  <c r="N12" i="29"/>
  <c r="M12" i="29"/>
  <c r="L12" i="29"/>
  <c r="K12" i="29"/>
  <c r="O11" i="29"/>
  <c r="N11" i="29"/>
  <c r="M11" i="29"/>
  <c r="L11" i="29"/>
  <c r="K11" i="29"/>
  <c r="O10" i="29"/>
  <c r="N10" i="29"/>
  <c r="M10" i="29"/>
  <c r="L10" i="29"/>
  <c r="K10" i="29"/>
  <c r="N331" i="28"/>
  <c r="I331" i="28"/>
  <c r="P324" i="28"/>
  <c r="Q324" i="28" s="1"/>
  <c r="P322" i="28"/>
  <c r="Q322" i="28" s="1"/>
  <c r="P321" i="28"/>
  <c r="Q321" i="28" s="1"/>
  <c r="P320" i="28"/>
  <c r="Q320" i="28" s="1"/>
  <c r="P318" i="28"/>
  <c r="Q318" i="28" s="1"/>
  <c r="P317" i="28"/>
  <c r="Q317" i="28" s="1"/>
  <c r="P315" i="28"/>
  <c r="Q315" i="28" s="1"/>
  <c r="O312" i="28"/>
  <c r="K312" i="28"/>
  <c r="J312" i="28"/>
  <c r="F312" i="28"/>
  <c r="AF310" i="32" s="1"/>
  <c r="E312" i="28"/>
  <c r="D312" i="28"/>
  <c r="C312" i="28"/>
  <c r="O311" i="28"/>
  <c r="K311" i="28"/>
  <c r="J311" i="28"/>
  <c r="F311" i="28"/>
  <c r="AF309" i="32" s="1"/>
  <c r="E311" i="28"/>
  <c r="D311" i="28"/>
  <c r="C311" i="28"/>
  <c r="O310" i="28"/>
  <c r="K310" i="28"/>
  <c r="J310" i="28"/>
  <c r="F310" i="28"/>
  <c r="AF307" i="32" s="1"/>
  <c r="E310" i="28"/>
  <c r="D310" i="28"/>
  <c r="C310" i="28"/>
  <c r="O309" i="28"/>
  <c r="K309" i="28"/>
  <c r="J309" i="28"/>
  <c r="F309" i="28"/>
  <c r="AF306" i="32" s="1"/>
  <c r="E309" i="28"/>
  <c r="D309" i="28"/>
  <c r="C309" i="28"/>
  <c r="O308" i="28"/>
  <c r="K308" i="28"/>
  <c r="J308" i="28"/>
  <c r="F308" i="28"/>
  <c r="AF305" i="32" s="1"/>
  <c r="E308" i="28"/>
  <c r="D308" i="28"/>
  <c r="C308" i="28"/>
  <c r="O307" i="28"/>
  <c r="K307" i="28"/>
  <c r="J307" i="28"/>
  <c r="F307" i="28"/>
  <c r="AF304" i="32" s="1"/>
  <c r="E307" i="28"/>
  <c r="D307" i="28"/>
  <c r="C307" i="28"/>
  <c r="O306" i="28"/>
  <c r="K306" i="28"/>
  <c r="J306" i="28"/>
  <c r="F306" i="28"/>
  <c r="AF308" i="32" s="1"/>
  <c r="E306" i="28"/>
  <c r="D306" i="28"/>
  <c r="C306" i="28"/>
  <c r="O305" i="28"/>
  <c r="K305" i="28"/>
  <c r="J305" i="28"/>
  <c r="F305" i="28"/>
  <c r="AF303" i="32" s="1"/>
  <c r="E305" i="28"/>
  <c r="D305" i="28"/>
  <c r="C305" i="28"/>
  <c r="O304" i="28"/>
  <c r="K304" i="28"/>
  <c r="J304" i="28"/>
  <c r="F304" i="28"/>
  <c r="AF302" i="32" s="1"/>
  <c r="E304" i="28"/>
  <c r="D304" i="28"/>
  <c r="C304" i="28"/>
  <c r="O303" i="28"/>
  <c r="K303" i="28"/>
  <c r="J303" i="28"/>
  <c r="F303" i="28"/>
  <c r="AF301" i="32" s="1"/>
  <c r="E303" i="28"/>
  <c r="D303" i="28"/>
  <c r="C303" i="28"/>
  <c r="O302" i="28"/>
  <c r="K302" i="28"/>
  <c r="J302" i="28"/>
  <c r="F302" i="28"/>
  <c r="AF300" i="32" s="1"/>
  <c r="E302" i="28"/>
  <c r="D302" i="28"/>
  <c r="C302" i="28"/>
  <c r="O301" i="28"/>
  <c r="K301" i="28"/>
  <c r="J301" i="28"/>
  <c r="F301" i="28"/>
  <c r="AF299" i="32" s="1"/>
  <c r="E301" i="28"/>
  <c r="D301" i="28"/>
  <c r="C301" i="28"/>
  <c r="O300" i="28"/>
  <c r="K300" i="28"/>
  <c r="J300" i="28"/>
  <c r="F300" i="28"/>
  <c r="AF298" i="32" s="1"/>
  <c r="E300" i="28"/>
  <c r="D300" i="28"/>
  <c r="C300" i="28"/>
  <c r="O299" i="28"/>
  <c r="K299" i="28"/>
  <c r="J299" i="28"/>
  <c r="F299" i="28"/>
  <c r="AF297" i="32" s="1"/>
  <c r="E299" i="28"/>
  <c r="D299" i="28"/>
  <c r="C299" i="28"/>
  <c r="O298" i="28"/>
  <c r="K298" i="28"/>
  <c r="J298" i="28"/>
  <c r="F298" i="28"/>
  <c r="AF296" i="32" s="1"/>
  <c r="E298" i="28"/>
  <c r="D298" i="28"/>
  <c r="C298" i="28"/>
  <c r="O297" i="28"/>
  <c r="K297" i="28"/>
  <c r="J297" i="28"/>
  <c r="F297" i="28"/>
  <c r="AF295" i="32" s="1"/>
  <c r="E297" i="28"/>
  <c r="D297" i="28"/>
  <c r="C297" i="28"/>
  <c r="O296" i="28"/>
  <c r="K296" i="28"/>
  <c r="J296" i="28"/>
  <c r="F296" i="28"/>
  <c r="AF294" i="32" s="1"/>
  <c r="E296" i="28"/>
  <c r="D296" i="28"/>
  <c r="C296" i="28"/>
  <c r="O295" i="28"/>
  <c r="K295" i="28"/>
  <c r="J295" i="28"/>
  <c r="F295" i="28"/>
  <c r="AF293" i="32" s="1"/>
  <c r="E295" i="28"/>
  <c r="D295" i="28"/>
  <c r="C295" i="28"/>
  <c r="O294" i="28"/>
  <c r="K294" i="28"/>
  <c r="J294" i="28"/>
  <c r="F294" i="28"/>
  <c r="AF292" i="32" s="1"/>
  <c r="E294" i="28"/>
  <c r="D294" i="28"/>
  <c r="C294" i="28"/>
  <c r="O293" i="28"/>
  <c r="K293" i="28"/>
  <c r="J293" i="28"/>
  <c r="F293" i="28"/>
  <c r="AF291" i="32" s="1"/>
  <c r="E293" i="28"/>
  <c r="D293" i="28"/>
  <c r="C293" i="28"/>
  <c r="O292" i="28"/>
  <c r="K292" i="28"/>
  <c r="J292" i="28"/>
  <c r="F292" i="28"/>
  <c r="AF290" i="32" s="1"/>
  <c r="E292" i="28"/>
  <c r="D292" i="28"/>
  <c r="C292" i="28"/>
  <c r="O291" i="28"/>
  <c r="K291" i="28"/>
  <c r="J291" i="28"/>
  <c r="F291" i="28"/>
  <c r="AF289" i="32" s="1"/>
  <c r="E291" i="28"/>
  <c r="D291" i="28"/>
  <c r="C291" i="28"/>
  <c r="O290" i="28"/>
  <c r="K290" i="28"/>
  <c r="J290" i="28"/>
  <c r="F290" i="28"/>
  <c r="AF288" i="32" s="1"/>
  <c r="E290" i="28"/>
  <c r="D290" i="28"/>
  <c r="C290" i="28"/>
  <c r="O289" i="28"/>
  <c r="K289" i="28"/>
  <c r="J289" i="28"/>
  <c r="F289" i="28"/>
  <c r="AF287" i="32" s="1"/>
  <c r="E289" i="28"/>
  <c r="D289" i="28"/>
  <c r="C289" i="28"/>
  <c r="O288" i="28"/>
  <c r="K288" i="28"/>
  <c r="J288" i="28"/>
  <c r="F288" i="28"/>
  <c r="AF286" i="32" s="1"/>
  <c r="E288" i="28"/>
  <c r="D288" i="28"/>
  <c r="C288" i="28"/>
  <c r="O287" i="28"/>
  <c r="K287" i="28"/>
  <c r="J287" i="28"/>
  <c r="F287" i="28"/>
  <c r="AF285" i="32" s="1"/>
  <c r="E287" i="28"/>
  <c r="D287" i="28"/>
  <c r="C287" i="28"/>
  <c r="O286" i="28"/>
  <c r="K286" i="28"/>
  <c r="J286" i="28"/>
  <c r="F286" i="28"/>
  <c r="AF284" i="32" s="1"/>
  <c r="E286" i="28"/>
  <c r="D286" i="28"/>
  <c r="C286" i="28"/>
  <c r="O285" i="28"/>
  <c r="K285" i="28"/>
  <c r="J285" i="28"/>
  <c r="F285" i="28"/>
  <c r="AF283" i="32" s="1"/>
  <c r="E285" i="28"/>
  <c r="D285" i="28"/>
  <c r="C285" i="28"/>
  <c r="O284" i="28"/>
  <c r="K284" i="28"/>
  <c r="J284" i="28"/>
  <c r="F284" i="28"/>
  <c r="AF282" i="32" s="1"/>
  <c r="E284" i="28"/>
  <c r="D284" i="28"/>
  <c r="C284" i="28"/>
  <c r="O283" i="28"/>
  <c r="K283" i="28"/>
  <c r="J283" i="28"/>
  <c r="F283" i="28"/>
  <c r="AF281" i="32" s="1"/>
  <c r="E283" i="28"/>
  <c r="D283" i="28"/>
  <c r="C283" i="28"/>
  <c r="O282" i="28"/>
  <c r="K282" i="28"/>
  <c r="J282" i="28"/>
  <c r="F282" i="28"/>
  <c r="AF280" i="32" s="1"/>
  <c r="E282" i="28"/>
  <c r="D282" i="28"/>
  <c r="C282" i="28"/>
  <c r="O281" i="28"/>
  <c r="K281" i="28"/>
  <c r="J281" i="28"/>
  <c r="F281" i="28"/>
  <c r="AF279" i="32" s="1"/>
  <c r="E281" i="28"/>
  <c r="D281" i="28"/>
  <c r="C281" i="28"/>
  <c r="O280" i="28"/>
  <c r="K280" i="28"/>
  <c r="J280" i="28"/>
  <c r="F280" i="28"/>
  <c r="AF278" i="32" s="1"/>
  <c r="E280" i="28"/>
  <c r="D280" i="28"/>
  <c r="C280" i="28"/>
  <c r="O279" i="28"/>
  <c r="K279" i="28"/>
  <c r="J279" i="28"/>
  <c r="F279" i="28"/>
  <c r="AF277" i="32" s="1"/>
  <c r="E279" i="28"/>
  <c r="D279" i="28"/>
  <c r="C279" i="28"/>
  <c r="O278" i="28"/>
  <c r="K278" i="28"/>
  <c r="J278" i="28"/>
  <c r="F278" i="28"/>
  <c r="AF276" i="32" s="1"/>
  <c r="E278" i="28"/>
  <c r="D278" i="28"/>
  <c r="C278" i="28"/>
  <c r="O277" i="28"/>
  <c r="K277" i="28"/>
  <c r="J277" i="28"/>
  <c r="F277" i="28"/>
  <c r="AF275" i="32" s="1"/>
  <c r="E277" i="28"/>
  <c r="D277" i="28"/>
  <c r="C277" i="28"/>
  <c r="O276" i="28"/>
  <c r="K276" i="28"/>
  <c r="J276" i="28"/>
  <c r="F276" i="28"/>
  <c r="AF274" i="32" s="1"/>
  <c r="E276" i="28"/>
  <c r="D276" i="28"/>
  <c r="C276" i="28"/>
  <c r="O275" i="28"/>
  <c r="K275" i="28"/>
  <c r="J275" i="28"/>
  <c r="F275" i="28"/>
  <c r="AF273" i="32" s="1"/>
  <c r="E275" i="28"/>
  <c r="D275" i="28"/>
  <c r="C275" i="28"/>
  <c r="O274" i="28"/>
  <c r="K274" i="28"/>
  <c r="J274" i="28"/>
  <c r="F274" i="28"/>
  <c r="AF272" i="32" s="1"/>
  <c r="E274" i="28"/>
  <c r="D274" i="28"/>
  <c r="C274" i="28"/>
  <c r="O273" i="28"/>
  <c r="K273" i="28"/>
  <c r="J273" i="28"/>
  <c r="F273" i="28"/>
  <c r="AF271" i="32" s="1"/>
  <c r="E273" i="28"/>
  <c r="D273" i="28"/>
  <c r="C273" i="28"/>
  <c r="P272" i="28"/>
  <c r="O272" i="28"/>
  <c r="K272" i="28"/>
  <c r="J272" i="28"/>
  <c r="F272" i="28"/>
  <c r="AF270" i="32" s="1"/>
  <c r="E272" i="28"/>
  <c r="D272" i="28"/>
  <c r="C272" i="28"/>
  <c r="O271" i="28"/>
  <c r="K271" i="28"/>
  <c r="J271" i="28"/>
  <c r="F271" i="28"/>
  <c r="AF269" i="32" s="1"/>
  <c r="E271" i="28"/>
  <c r="D271" i="28"/>
  <c r="C271" i="28"/>
  <c r="O270" i="28"/>
  <c r="K270" i="28"/>
  <c r="J270" i="28"/>
  <c r="F270" i="28"/>
  <c r="AF268" i="32" s="1"/>
  <c r="E270" i="28"/>
  <c r="D270" i="28"/>
  <c r="C270" i="28"/>
  <c r="O269" i="28"/>
  <c r="K269" i="28"/>
  <c r="J269" i="28"/>
  <c r="F269" i="28"/>
  <c r="AF267" i="32" s="1"/>
  <c r="E269" i="28"/>
  <c r="D269" i="28"/>
  <c r="C269" i="28"/>
  <c r="O268" i="28"/>
  <c r="K268" i="28"/>
  <c r="J268" i="28"/>
  <c r="F268" i="28"/>
  <c r="AF266" i="32" s="1"/>
  <c r="E268" i="28"/>
  <c r="D268" i="28"/>
  <c r="C268" i="28"/>
  <c r="O267" i="28"/>
  <c r="K267" i="28"/>
  <c r="J267" i="28"/>
  <c r="F267" i="28"/>
  <c r="AF265" i="32" s="1"/>
  <c r="E267" i="28"/>
  <c r="D267" i="28"/>
  <c r="C267" i="28"/>
  <c r="O266" i="28"/>
  <c r="K266" i="28"/>
  <c r="J266" i="28"/>
  <c r="F266" i="28"/>
  <c r="AF264" i="32" s="1"/>
  <c r="E266" i="28"/>
  <c r="D266" i="28"/>
  <c r="C266" i="28"/>
  <c r="O265" i="28"/>
  <c r="K265" i="28"/>
  <c r="J265" i="28"/>
  <c r="F265" i="28"/>
  <c r="AF263" i="32" s="1"/>
  <c r="E265" i="28"/>
  <c r="D265" i="28"/>
  <c r="C265" i="28"/>
  <c r="O264" i="28"/>
  <c r="K264" i="28"/>
  <c r="J264" i="28"/>
  <c r="F264" i="28"/>
  <c r="AF262" i="32" s="1"/>
  <c r="E264" i="28"/>
  <c r="D264" i="28"/>
  <c r="C264" i="28"/>
  <c r="O263" i="28"/>
  <c r="K263" i="28"/>
  <c r="J263" i="28"/>
  <c r="F263" i="28"/>
  <c r="AF261" i="32" s="1"/>
  <c r="E263" i="28"/>
  <c r="D263" i="28"/>
  <c r="C263" i="28"/>
  <c r="O262" i="28"/>
  <c r="K262" i="28"/>
  <c r="J262" i="28"/>
  <c r="F262" i="28"/>
  <c r="AF260" i="32" s="1"/>
  <c r="E262" i="28"/>
  <c r="D262" i="28"/>
  <c r="C262" i="28"/>
  <c r="O261" i="28"/>
  <c r="K261" i="28"/>
  <c r="J261" i="28"/>
  <c r="F261" i="28"/>
  <c r="AF259" i="32" s="1"/>
  <c r="E261" i="28"/>
  <c r="D261" i="28"/>
  <c r="C261" i="28"/>
  <c r="O260" i="28"/>
  <c r="K260" i="28"/>
  <c r="J260" i="28"/>
  <c r="F260" i="28"/>
  <c r="AF258" i="32" s="1"/>
  <c r="E260" i="28"/>
  <c r="D260" i="28"/>
  <c r="C260" i="28"/>
  <c r="O259" i="28"/>
  <c r="K259" i="28"/>
  <c r="J259" i="28"/>
  <c r="F259" i="28"/>
  <c r="AF257" i="32" s="1"/>
  <c r="E259" i="28"/>
  <c r="D259" i="28"/>
  <c r="C259" i="28"/>
  <c r="O258" i="28"/>
  <c r="K258" i="28"/>
  <c r="J258" i="28"/>
  <c r="F258" i="28"/>
  <c r="AF256" i="32" s="1"/>
  <c r="E258" i="28"/>
  <c r="D258" i="28"/>
  <c r="C258" i="28"/>
  <c r="O257" i="28"/>
  <c r="K257" i="28"/>
  <c r="J257" i="28"/>
  <c r="F257" i="28"/>
  <c r="AF255" i="32" s="1"/>
  <c r="E257" i="28"/>
  <c r="D257" i="28"/>
  <c r="C257" i="28"/>
  <c r="O256" i="28"/>
  <c r="K256" i="28"/>
  <c r="J256" i="28"/>
  <c r="F256" i="28"/>
  <c r="AF254" i="32" s="1"/>
  <c r="E256" i="28"/>
  <c r="D256" i="28"/>
  <c r="C256" i="28"/>
  <c r="O255" i="28"/>
  <c r="K255" i="28"/>
  <c r="J255" i="28"/>
  <c r="F255" i="28"/>
  <c r="AF253" i="32" s="1"/>
  <c r="E255" i="28"/>
  <c r="D255" i="28"/>
  <c r="C255" i="28"/>
  <c r="O254" i="28"/>
  <c r="K254" i="28"/>
  <c r="J254" i="28"/>
  <c r="F254" i="28"/>
  <c r="AF252" i="32" s="1"/>
  <c r="E254" i="28"/>
  <c r="D254" i="28"/>
  <c r="C254" i="28"/>
  <c r="O253" i="28"/>
  <c r="K253" i="28"/>
  <c r="J253" i="28"/>
  <c r="F253" i="28"/>
  <c r="AF251" i="32" s="1"/>
  <c r="E253" i="28"/>
  <c r="D253" i="28"/>
  <c r="C253" i="28"/>
  <c r="O252" i="28"/>
  <c r="K252" i="28"/>
  <c r="J252" i="28"/>
  <c r="F252" i="28"/>
  <c r="AF250" i="32" s="1"/>
  <c r="E252" i="28"/>
  <c r="D252" i="28"/>
  <c r="C252" i="28"/>
  <c r="O251" i="28"/>
  <c r="K251" i="28"/>
  <c r="J251" i="28"/>
  <c r="F251" i="28"/>
  <c r="AF249" i="32" s="1"/>
  <c r="E251" i="28"/>
  <c r="D251" i="28"/>
  <c r="C251" i="28"/>
  <c r="O250" i="28"/>
  <c r="K250" i="28"/>
  <c r="J250" i="28"/>
  <c r="F250" i="28"/>
  <c r="AF248" i="32" s="1"/>
  <c r="E250" i="28"/>
  <c r="D250" i="28"/>
  <c r="C250" i="28"/>
  <c r="O249" i="28"/>
  <c r="K249" i="28"/>
  <c r="J249" i="28"/>
  <c r="F249" i="28"/>
  <c r="AF247" i="32" s="1"/>
  <c r="E249" i="28"/>
  <c r="D249" i="28"/>
  <c r="C249" i="28"/>
  <c r="O248" i="28"/>
  <c r="K248" i="28"/>
  <c r="J248" i="28"/>
  <c r="F248" i="28"/>
  <c r="AF246" i="32" s="1"/>
  <c r="E248" i="28"/>
  <c r="D248" i="28"/>
  <c r="C248" i="28"/>
  <c r="O247" i="28"/>
  <c r="K247" i="28"/>
  <c r="J247" i="28"/>
  <c r="F247" i="28"/>
  <c r="AF245" i="32" s="1"/>
  <c r="E247" i="28"/>
  <c r="D247" i="28"/>
  <c r="C247" i="28"/>
  <c r="O246" i="28"/>
  <c r="K246" i="28"/>
  <c r="J246" i="28"/>
  <c r="F246" i="28"/>
  <c r="AF244" i="32" s="1"/>
  <c r="E246" i="28"/>
  <c r="D246" i="28"/>
  <c r="C246" i="28"/>
  <c r="O245" i="28"/>
  <c r="K245" i="28"/>
  <c r="J245" i="28"/>
  <c r="F245" i="28"/>
  <c r="AF243" i="32" s="1"/>
  <c r="E245" i="28"/>
  <c r="D245" i="28"/>
  <c r="C245" i="28"/>
  <c r="O244" i="28"/>
  <c r="K244" i="28"/>
  <c r="J244" i="28"/>
  <c r="F244" i="28"/>
  <c r="AF242" i="32" s="1"/>
  <c r="E244" i="28"/>
  <c r="D244" i="28"/>
  <c r="C244" i="28"/>
  <c r="O243" i="28"/>
  <c r="K243" i="28"/>
  <c r="J243" i="28"/>
  <c r="F243" i="28"/>
  <c r="AF241" i="32" s="1"/>
  <c r="E243" i="28"/>
  <c r="D243" i="28"/>
  <c r="C243" i="28"/>
  <c r="O242" i="28"/>
  <c r="K242" i="28"/>
  <c r="J242" i="28"/>
  <c r="F242" i="28"/>
  <c r="AF240" i="32" s="1"/>
  <c r="E242" i="28"/>
  <c r="D242" i="28"/>
  <c r="C242" i="28"/>
  <c r="O241" i="28"/>
  <c r="K241" i="28"/>
  <c r="J241" i="28"/>
  <c r="F241" i="28"/>
  <c r="AF239" i="32" s="1"/>
  <c r="E241" i="28"/>
  <c r="D241" i="28"/>
  <c r="C241" i="28"/>
  <c r="O240" i="28"/>
  <c r="K240" i="28"/>
  <c r="J240" i="28"/>
  <c r="F240" i="28"/>
  <c r="AF238" i="32" s="1"/>
  <c r="E240" i="28"/>
  <c r="D240" i="28"/>
  <c r="C240" i="28"/>
  <c r="O239" i="28"/>
  <c r="K239" i="28"/>
  <c r="J239" i="28"/>
  <c r="F239" i="28"/>
  <c r="AF237" i="32" s="1"/>
  <c r="E239" i="28"/>
  <c r="D239" i="28"/>
  <c r="C239" i="28"/>
  <c r="O238" i="28"/>
  <c r="K238" i="28"/>
  <c r="J238" i="28"/>
  <c r="F238" i="28"/>
  <c r="AF236" i="32" s="1"/>
  <c r="E238" i="28"/>
  <c r="D238" i="28"/>
  <c r="C238" i="28"/>
  <c r="O237" i="28"/>
  <c r="K237" i="28"/>
  <c r="J237" i="28"/>
  <c r="F237" i="28"/>
  <c r="AF235" i="32" s="1"/>
  <c r="E237" i="28"/>
  <c r="D237" i="28"/>
  <c r="C237" i="28"/>
  <c r="O236" i="28"/>
  <c r="K236" i="28"/>
  <c r="J236" i="28"/>
  <c r="F236" i="28"/>
  <c r="AF234" i="32" s="1"/>
  <c r="E236" i="28"/>
  <c r="D236" i="28"/>
  <c r="C236" i="28"/>
  <c r="O235" i="28"/>
  <c r="K235" i="28"/>
  <c r="J235" i="28"/>
  <c r="F235" i="28"/>
  <c r="AF233" i="32" s="1"/>
  <c r="E235" i="28"/>
  <c r="D235" i="28"/>
  <c r="C235" i="28"/>
  <c r="O234" i="28"/>
  <c r="K234" i="28"/>
  <c r="J234" i="28"/>
  <c r="F234" i="28"/>
  <c r="AF232" i="32" s="1"/>
  <c r="E234" i="28"/>
  <c r="D234" i="28"/>
  <c r="C234" i="28"/>
  <c r="O233" i="28"/>
  <c r="K233" i="28"/>
  <c r="J233" i="28"/>
  <c r="F233" i="28"/>
  <c r="AF231" i="32" s="1"/>
  <c r="E233" i="28"/>
  <c r="D233" i="28"/>
  <c r="C233" i="28"/>
  <c r="O232" i="28"/>
  <c r="K232" i="28"/>
  <c r="J232" i="28"/>
  <c r="F232" i="28"/>
  <c r="AF230" i="32" s="1"/>
  <c r="E232" i="28"/>
  <c r="D232" i="28"/>
  <c r="C232" i="28"/>
  <c r="O231" i="28"/>
  <c r="K231" i="28"/>
  <c r="J231" i="28"/>
  <c r="F231" i="28"/>
  <c r="AF229" i="32" s="1"/>
  <c r="E231" i="28"/>
  <c r="D231" i="28"/>
  <c r="C231" i="28"/>
  <c r="O230" i="28"/>
  <c r="K230" i="28"/>
  <c r="J230" i="28"/>
  <c r="F230" i="28"/>
  <c r="AF228" i="32" s="1"/>
  <c r="E230" i="28"/>
  <c r="D230" i="28"/>
  <c r="C230" i="28"/>
  <c r="O229" i="28"/>
  <c r="K229" i="28"/>
  <c r="J229" i="28"/>
  <c r="F229" i="28"/>
  <c r="AF227" i="32" s="1"/>
  <c r="E229" i="28"/>
  <c r="D229" i="28"/>
  <c r="C229" i="28"/>
  <c r="O228" i="28"/>
  <c r="K228" i="28"/>
  <c r="J228" i="28"/>
  <c r="F228" i="28"/>
  <c r="AF226" i="32" s="1"/>
  <c r="E228" i="28"/>
  <c r="D228" i="28"/>
  <c r="C228" i="28"/>
  <c r="O227" i="28"/>
  <c r="K227" i="28"/>
  <c r="J227" i="28"/>
  <c r="F227" i="28"/>
  <c r="AF225" i="32" s="1"/>
  <c r="E227" i="28"/>
  <c r="D227" i="28"/>
  <c r="C227" i="28"/>
  <c r="O226" i="28"/>
  <c r="K226" i="28"/>
  <c r="J226" i="28"/>
  <c r="F226" i="28"/>
  <c r="AF224" i="32" s="1"/>
  <c r="E226" i="28"/>
  <c r="D226" i="28"/>
  <c r="C226" i="28"/>
  <c r="O225" i="28"/>
  <c r="K225" i="28"/>
  <c r="J225" i="28"/>
  <c r="F225" i="28"/>
  <c r="AF223" i="32" s="1"/>
  <c r="E225" i="28"/>
  <c r="D225" i="28"/>
  <c r="C225" i="28"/>
  <c r="O224" i="28"/>
  <c r="K224" i="28"/>
  <c r="J224" i="28"/>
  <c r="F224" i="28"/>
  <c r="AF222" i="32" s="1"/>
  <c r="E224" i="28"/>
  <c r="D224" i="28"/>
  <c r="C224" i="28"/>
  <c r="O223" i="28"/>
  <c r="K223" i="28"/>
  <c r="J223" i="28"/>
  <c r="F223" i="28"/>
  <c r="AF221" i="32" s="1"/>
  <c r="E223" i="28"/>
  <c r="D223" i="28"/>
  <c r="C223" i="28"/>
  <c r="O222" i="28"/>
  <c r="K222" i="28"/>
  <c r="J222" i="28"/>
  <c r="F222" i="28"/>
  <c r="AF220" i="32" s="1"/>
  <c r="E222" i="28"/>
  <c r="D222" i="28"/>
  <c r="C222" i="28"/>
  <c r="O221" i="28"/>
  <c r="K221" i="28"/>
  <c r="J221" i="28"/>
  <c r="F221" i="28"/>
  <c r="AF219" i="32" s="1"/>
  <c r="E221" i="28"/>
  <c r="D221" i="28"/>
  <c r="C221" i="28"/>
  <c r="O220" i="28"/>
  <c r="K220" i="28"/>
  <c r="J220" i="28"/>
  <c r="F220" i="28"/>
  <c r="AF218" i="32" s="1"/>
  <c r="E220" i="28"/>
  <c r="D220" i="28"/>
  <c r="C220" i="28"/>
  <c r="O219" i="28"/>
  <c r="K219" i="28"/>
  <c r="J219" i="28"/>
  <c r="F219" i="28"/>
  <c r="AF217" i="32" s="1"/>
  <c r="E219" i="28"/>
  <c r="D219" i="28"/>
  <c r="C219" i="28"/>
  <c r="O218" i="28"/>
  <c r="K218" i="28"/>
  <c r="J218" i="28"/>
  <c r="F218" i="28"/>
  <c r="AF216" i="32" s="1"/>
  <c r="E218" i="28"/>
  <c r="D218" i="28"/>
  <c r="C218" i="28"/>
  <c r="O217" i="28"/>
  <c r="K217" i="28"/>
  <c r="J217" i="28"/>
  <c r="F217" i="28"/>
  <c r="AF215" i="32" s="1"/>
  <c r="E217" i="28"/>
  <c r="D217" i="28"/>
  <c r="C217" i="28"/>
  <c r="O216" i="28"/>
  <c r="K216" i="28"/>
  <c r="J216" i="28"/>
  <c r="F216" i="28"/>
  <c r="AF214" i="32" s="1"/>
  <c r="E216" i="28"/>
  <c r="D216" i="28"/>
  <c r="C216" i="28"/>
  <c r="O215" i="28"/>
  <c r="K215" i="28"/>
  <c r="J215" i="28"/>
  <c r="F215" i="28"/>
  <c r="AF213" i="32" s="1"/>
  <c r="E215" i="28"/>
  <c r="D215" i="28"/>
  <c r="C215" i="28"/>
  <c r="P214" i="28"/>
  <c r="O214" i="28"/>
  <c r="K214" i="28"/>
  <c r="J214" i="28"/>
  <c r="F214" i="28"/>
  <c r="AF212" i="32" s="1"/>
  <c r="E214" i="28"/>
  <c r="D214" i="28"/>
  <c r="C214" i="28"/>
  <c r="O213" i="28"/>
  <c r="K213" i="28"/>
  <c r="J213" i="28"/>
  <c r="F213" i="28"/>
  <c r="AF211" i="32" s="1"/>
  <c r="E213" i="28"/>
  <c r="D213" i="28"/>
  <c r="C213" i="28"/>
  <c r="O212" i="28"/>
  <c r="K212" i="28"/>
  <c r="J212" i="28"/>
  <c r="F212" i="28"/>
  <c r="AF210" i="32" s="1"/>
  <c r="E212" i="28"/>
  <c r="D212" i="28"/>
  <c r="C212" i="28"/>
  <c r="O211" i="28"/>
  <c r="K211" i="28"/>
  <c r="J211" i="28"/>
  <c r="F211" i="28"/>
  <c r="AF209" i="32" s="1"/>
  <c r="E211" i="28"/>
  <c r="D211" i="28"/>
  <c r="C211" i="28"/>
  <c r="O210" i="28"/>
  <c r="K210" i="28"/>
  <c r="J210" i="28"/>
  <c r="F210" i="28"/>
  <c r="AF207" i="32" s="1"/>
  <c r="E210" i="28"/>
  <c r="D210" i="28"/>
  <c r="C210" i="28"/>
  <c r="O209" i="28"/>
  <c r="K209" i="28"/>
  <c r="J209" i="28"/>
  <c r="F209" i="28"/>
  <c r="AF206" i="32" s="1"/>
  <c r="E209" i="28"/>
  <c r="D209" i="28"/>
  <c r="C209" i="28"/>
  <c r="O208" i="28"/>
  <c r="K208" i="28"/>
  <c r="J208" i="28"/>
  <c r="F208" i="28"/>
  <c r="AF205" i="32" s="1"/>
  <c r="E208" i="28"/>
  <c r="D208" i="28"/>
  <c r="C208" i="28"/>
  <c r="O207" i="28"/>
  <c r="K207" i="28"/>
  <c r="J207" i="28"/>
  <c r="F207" i="28"/>
  <c r="AF208" i="32" s="1"/>
  <c r="E207" i="28"/>
  <c r="D207" i="28"/>
  <c r="C207" i="28"/>
  <c r="O206" i="28"/>
  <c r="K206" i="28"/>
  <c r="J206" i="28"/>
  <c r="F206" i="28"/>
  <c r="AF204" i="32" s="1"/>
  <c r="E206" i="28"/>
  <c r="D206" i="28"/>
  <c r="C206" i="28"/>
  <c r="O205" i="28"/>
  <c r="K205" i="28"/>
  <c r="J205" i="28"/>
  <c r="F205" i="28"/>
  <c r="AF203" i="32" s="1"/>
  <c r="E205" i="28"/>
  <c r="D205" i="28"/>
  <c r="C205" i="28"/>
  <c r="O204" i="28"/>
  <c r="K204" i="28"/>
  <c r="J204" i="28"/>
  <c r="F204" i="28"/>
  <c r="AF202" i="32" s="1"/>
  <c r="E204" i="28"/>
  <c r="D204" i="28"/>
  <c r="C204" i="28"/>
  <c r="O203" i="28"/>
  <c r="K203" i="28"/>
  <c r="J203" i="28"/>
  <c r="F203" i="28"/>
  <c r="AF201" i="32" s="1"/>
  <c r="E203" i="28"/>
  <c r="D203" i="28"/>
  <c r="C203" i="28"/>
  <c r="O202" i="28"/>
  <c r="K202" i="28"/>
  <c r="J202" i="28"/>
  <c r="F202" i="28"/>
  <c r="AF200" i="32" s="1"/>
  <c r="E202" i="28"/>
  <c r="D202" i="28"/>
  <c r="C202" i="28"/>
  <c r="O201" i="28"/>
  <c r="K201" i="28"/>
  <c r="J201" i="28"/>
  <c r="F201" i="28"/>
  <c r="AF199" i="32" s="1"/>
  <c r="E201" i="28"/>
  <c r="D201" i="28"/>
  <c r="C201" i="28"/>
  <c r="O200" i="28"/>
  <c r="K200" i="28"/>
  <c r="J200" i="28"/>
  <c r="F200" i="28"/>
  <c r="AF198" i="32" s="1"/>
  <c r="E200" i="28"/>
  <c r="D200" i="28"/>
  <c r="C200" i="28"/>
  <c r="O199" i="28"/>
  <c r="K199" i="28"/>
  <c r="J199" i="28"/>
  <c r="F199" i="28"/>
  <c r="AF197" i="32" s="1"/>
  <c r="E199" i="28"/>
  <c r="D199" i="28"/>
  <c r="C199" i="28"/>
  <c r="O198" i="28"/>
  <c r="K198" i="28"/>
  <c r="J198" i="28"/>
  <c r="F198" i="28"/>
  <c r="AF196" i="32" s="1"/>
  <c r="E198" i="28"/>
  <c r="D198" i="28"/>
  <c r="C198" i="28"/>
  <c r="O197" i="28"/>
  <c r="K197" i="28"/>
  <c r="J197" i="28"/>
  <c r="F197" i="28"/>
  <c r="AF194" i="32" s="1"/>
  <c r="E197" i="28"/>
  <c r="D197" i="28"/>
  <c r="C197" i="28"/>
  <c r="O196" i="28"/>
  <c r="K196" i="28"/>
  <c r="J196" i="28"/>
  <c r="F196" i="28"/>
  <c r="AF193" i="32" s="1"/>
  <c r="E196" i="28"/>
  <c r="D196" i="28"/>
  <c r="C196" i="28"/>
  <c r="O195" i="28"/>
  <c r="K195" i="28"/>
  <c r="J195" i="28"/>
  <c r="F195" i="28"/>
  <c r="AF192" i="32" s="1"/>
  <c r="E195" i="28"/>
  <c r="D195" i="28"/>
  <c r="C195" i="28"/>
  <c r="O194" i="28"/>
  <c r="K194" i="28"/>
  <c r="J194" i="28"/>
  <c r="F194" i="28"/>
  <c r="AF191" i="32" s="1"/>
  <c r="E194" i="28"/>
  <c r="D194" i="28"/>
  <c r="C194" i="28"/>
  <c r="O193" i="28"/>
  <c r="K193" i="28"/>
  <c r="J193" i="28"/>
  <c r="F193" i="28"/>
  <c r="AF190" i="32" s="1"/>
  <c r="E193" i="28"/>
  <c r="D193" i="28"/>
  <c r="C193" i="28"/>
  <c r="O192" i="28"/>
  <c r="K192" i="28"/>
  <c r="J192" i="28"/>
  <c r="F192" i="28"/>
  <c r="AF189" i="32" s="1"/>
  <c r="E192" i="28"/>
  <c r="D192" i="28"/>
  <c r="C192" i="28"/>
  <c r="O191" i="28"/>
  <c r="K191" i="28"/>
  <c r="J191" i="28"/>
  <c r="F191" i="28"/>
  <c r="AF188" i="32" s="1"/>
  <c r="E191" i="28"/>
  <c r="D191" i="28"/>
  <c r="C191" i="28"/>
  <c r="O190" i="28"/>
  <c r="K190" i="28"/>
  <c r="J190" i="28"/>
  <c r="F190" i="28"/>
  <c r="AF187" i="32" s="1"/>
  <c r="E190" i="28"/>
  <c r="D190" i="28"/>
  <c r="C190" i="28"/>
  <c r="O189" i="28"/>
  <c r="K189" i="28"/>
  <c r="J189" i="28"/>
  <c r="F189" i="28"/>
  <c r="AF186" i="32" s="1"/>
  <c r="E189" i="28"/>
  <c r="D189" i="28"/>
  <c r="C189" i="28"/>
  <c r="O188" i="28"/>
  <c r="K188" i="28"/>
  <c r="J188" i="28"/>
  <c r="F188" i="28"/>
  <c r="AF185" i="32" s="1"/>
  <c r="E188" i="28"/>
  <c r="D188" i="28"/>
  <c r="C188" i="28"/>
  <c r="O187" i="28"/>
  <c r="K187" i="28"/>
  <c r="J187" i="28"/>
  <c r="F187" i="28"/>
  <c r="AF184" i="32" s="1"/>
  <c r="E187" i="28"/>
  <c r="D187" i="28"/>
  <c r="C187" i="28"/>
  <c r="O186" i="28"/>
  <c r="K186" i="28"/>
  <c r="J186" i="28"/>
  <c r="F186" i="28"/>
  <c r="AF183" i="32" s="1"/>
  <c r="E186" i="28"/>
  <c r="D186" i="28"/>
  <c r="C186" i="28"/>
  <c r="O185" i="28"/>
  <c r="K185" i="28"/>
  <c r="J185" i="28"/>
  <c r="F185" i="28"/>
  <c r="AF182" i="32" s="1"/>
  <c r="E185" i="28"/>
  <c r="D185" i="28"/>
  <c r="C185" i="28"/>
  <c r="O184" i="28"/>
  <c r="K184" i="28"/>
  <c r="J184" i="28"/>
  <c r="F184" i="28"/>
  <c r="AF181" i="32" s="1"/>
  <c r="E184" i="28"/>
  <c r="D184" i="28"/>
  <c r="C184" i="28"/>
  <c r="O183" i="28"/>
  <c r="K183" i="28"/>
  <c r="J183" i="28"/>
  <c r="F183" i="28"/>
  <c r="AF180" i="32" s="1"/>
  <c r="E183" i="28"/>
  <c r="D183" i="28"/>
  <c r="C183" i="28"/>
  <c r="O182" i="28"/>
  <c r="K182" i="28"/>
  <c r="J182" i="28"/>
  <c r="F182" i="28"/>
  <c r="AF179" i="32" s="1"/>
  <c r="E182" i="28"/>
  <c r="D182" i="28"/>
  <c r="C182" i="28"/>
  <c r="O181" i="28"/>
  <c r="K181" i="28"/>
  <c r="J181" i="28"/>
  <c r="F181" i="28"/>
  <c r="AF178" i="32" s="1"/>
  <c r="E181" i="28"/>
  <c r="D181" i="28"/>
  <c r="C181" i="28"/>
  <c r="O180" i="28"/>
  <c r="K180" i="28"/>
  <c r="J180" i="28"/>
  <c r="F180" i="28"/>
  <c r="AF177" i="32" s="1"/>
  <c r="E180" i="28"/>
  <c r="D180" i="28"/>
  <c r="C180" i="28"/>
  <c r="O179" i="28"/>
  <c r="K179" i="28"/>
  <c r="J179" i="28"/>
  <c r="F179" i="28"/>
  <c r="AF176" i="32" s="1"/>
  <c r="E179" i="28"/>
  <c r="D179" i="28"/>
  <c r="C179" i="28"/>
  <c r="O178" i="28"/>
  <c r="K178" i="28"/>
  <c r="J178" i="28"/>
  <c r="F178" i="28"/>
  <c r="AF175" i="32" s="1"/>
  <c r="E178" i="28"/>
  <c r="D178" i="28"/>
  <c r="C178" i="28"/>
  <c r="O177" i="28"/>
  <c r="K177" i="28"/>
  <c r="J177" i="28"/>
  <c r="F177" i="28"/>
  <c r="AF174" i="32" s="1"/>
  <c r="E177" i="28"/>
  <c r="D177" i="28"/>
  <c r="C177" i="28"/>
  <c r="O176" i="28"/>
  <c r="K176" i="28"/>
  <c r="J176" i="28"/>
  <c r="F176" i="28"/>
  <c r="AF173" i="32" s="1"/>
  <c r="E176" i="28"/>
  <c r="D176" i="28"/>
  <c r="C176" i="28"/>
  <c r="O175" i="28"/>
  <c r="K175" i="28"/>
  <c r="J175" i="28"/>
  <c r="F175" i="28"/>
  <c r="AF172" i="32" s="1"/>
  <c r="E175" i="28"/>
  <c r="D175" i="28"/>
  <c r="C175" i="28"/>
  <c r="O174" i="28"/>
  <c r="K174" i="28"/>
  <c r="J174" i="28"/>
  <c r="F174" i="28"/>
  <c r="AF171" i="32" s="1"/>
  <c r="E174" i="28"/>
  <c r="D174" i="28"/>
  <c r="C174" i="28"/>
  <c r="O173" i="28"/>
  <c r="K173" i="28"/>
  <c r="J173" i="28"/>
  <c r="F173" i="28"/>
  <c r="AF170" i="32" s="1"/>
  <c r="E173" i="28"/>
  <c r="D173" i="28"/>
  <c r="C173" i="28"/>
  <c r="O172" i="28"/>
  <c r="K172" i="28"/>
  <c r="J172" i="28"/>
  <c r="F172" i="28"/>
  <c r="AF169" i="32" s="1"/>
  <c r="E172" i="28"/>
  <c r="D172" i="28"/>
  <c r="C172" i="28"/>
  <c r="O171" i="28"/>
  <c r="K171" i="28"/>
  <c r="J171" i="28"/>
  <c r="F171" i="28"/>
  <c r="AF168" i="32" s="1"/>
  <c r="E171" i="28"/>
  <c r="D171" i="28"/>
  <c r="C171" i="28"/>
  <c r="O170" i="28"/>
  <c r="K170" i="28"/>
  <c r="J170" i="28"/>
  <c r="F170" i="28"/>
  <c r="AF167" i="32" s="1"/>
  <c r="E170" i="28"/>
  <c r="D170" i="28"/>
  <c r="C170" i="28"/>
  <c r="O169" i="28"/>
  <c r="K169" i="28"/>
  <c r="J169" i="28"/>
  <c r="F169" i="28"/>
  <c r="AF166" i="32" s="1"/>
  <c r="E169" i="28"/>
  <c r="D169" i="28"/>
  <c r="C169" i="28"/>
  <c r="O168" i="28"/>
  <c r="K168" i="28"/>
  <c r="J168" i="28"/>
  <c r="F168" i="28"/>
  <c r="AF165" i="32" s="1"/>
  <c r="E168" i="28"/>
  <c r="D168" i="28"/>
  <c r="C168" i="28"/>
  <c r="O167" i="28"/>
  <c r="K167" i="28"/>
  <c r="J167" i="28"/>
  <c r="F167" i="28"/>
  <c r="AF164" i="32" s="1"/>
  <c r="E167" i="28"/>
  <c r="D167" i="28"/>
  <c r="C167" i="28"/>
  <c r="O166" i="28"/>
  <c r="K166" i="28"/>
  <c r="J166" i="28"/>
  <c r="F166" i="28"/>
  <c r="AF163" i="32" s="1"/>
  <c r="E166" i="28"/>
  <c r="D166" i="28"/>
  <c r="C166" i="28"/>
  <c r="O165" i="28"/>
  <c r="K165" i="28"/>
  <c r="J165" i="28"/>
  <c r="F165" i="28"/>
  <c r="AF162" i="32" s="1"/>
  <c r="E165" i="28"/>
  <c r="D165" i="28"/>
  <c r="C165" i="28"/>
  <c r="O164" i="28"/>
  <c r="K164" i="28"/>
  <c r="J164" i="28"/>
  <c r="F164" i="28"/>
  <c r="AF161" i="32" s="1"/>
  <c r="E164" i="28"/>
  <c r="D164" i="28"/>
  <c r="C164" i="28"/>
  <c r="O163" i="28"/>
  <c r="K163" i="28"/>
  <c r="J163" i="28"/>
  <c r="F163" i="28"/>
  <c r="AF160" i="32" s="1"/>
  <c r="E163" i="28"/>
  <c r="D163" i="28"/>
  <c r="C163" i="28"/>
  <c r="O162" i="28"/>
  <c r="K162" i="28"/>
  <c r="J162" i="28"/>
  <c r="F162" i="28"/>
  <c r="AF159" i="32" s="1"/>
  <c r="E162" i="28"/>
  <c r="D162" i="28"/>
  <c r="C162" i="28"/>
  <c r="O161" i="28"/>
  <c r="K161" i="28"/>
  <c r="J161" i="28"/>
  <c r="F161" i="28"/>
  <c r="AF158" i="32" s="1"/>
  <c r="E161" i="28"/>
  <c r="D161" i="28"/>
  <c r="C161" i="28"/>
  <c r="O160" i="28"/>
  <c r="K160" i="28"/>
  <c r="J160" i="28"/>
  <c r="F160" i="28"/>
  <c r="AF157" i="32" s="1"/>
  <c r="E160" i="28"/>
  <c r="D160" i="28"/>
  <c r="C160" i="28"/>
  <c r="O159" i="28"/>
  <c r="K159" i="28"/>
  <c r="J159" i="28"/>
  <c r="F159" i="28"/>
  <c r="AF156" i="32" s="1"/>
  <c r="E159" i="28"/>
  <c r="D159" i="28"/>
  <c r="C159" i="28"/>
  <c r="O158" i="28"/>
  <c r="K158" i="28"/>
  <c r="J158" i="28"/>
  <c r="F158" i="28"/>
  <c r="AF195" i="32" s="1"/>
  <c r="E158" i="28"/>
  <c r="D158" i="28"/>
  <c r="C158" i="28"/>
  <c r="O157" i="28"/>
  <c r="K157" i="28"/>
  <c r="J157" i="28"/>
  <c r="F157" i="28"/>
  <c r="AF155" i="32" s="1"/>
  <c r="E157" i="28"/>
  <c r="D157" i="28"/>
  <c r="C157" i="28"/>
  <c r="O156" i="28"/>
  <c r="K156" i="28"/>
  <c r="J156" i="28"/>
  <c r="F156" i="28"/>
  <c r="AF154" i="32" s="1"/>
  <c r="E156" i="28"/>
  <c r="D156" i="28"/>
  <c r="C156" i="28"/>
  <c r="O155" i="28"/>
  <c r="K155" i="28"/>
  <c r="J155" i="28"/>
  <c r="F155" i="28"/>
  <c r="AF153" i="32" s="1"/>
  <c r="E155" i="28"/>
  <c r="D155" i="28"/>
  <c r="C155" i="28"/>
  <c r="O154" i="28"/>
  <c r="K154" i="28"/>
  <c r="J154" i="28"/>
  <c r="F154" i="28"/>
  <c r="AF152" i="32" s="1"/>
  <c r="E154" i="28"/>
  <c r="D154" i="28"/>
  <c r="C154" i="28"/>
  <c r="O153" i="28"/>
  <c r="K153" i="28"/>
  <c r="J153" i="28"/>
  <c r="F153" i="28"/>
  <c r="AF151" i="32" s="1"/>
  <c r="E153" i="28"/>
  <c r="D153" i="28"/>
  <c r="C153" i="28"/>
  <c r="O152" i="28"/>
  <c r="K152" i="28"/>
  <c r="J152" i="28"/>
  <c r="F152" i="28"/>
  <c r="AF150" i="32" s="1"/>
  <c r="E152" i="28"/>
  <c r="D152" i="28"/>
  <c r="C152" i="28"/>
  <c r="O151" i="28"/>
  <c r="K151" i="28"/>
  <c r="J151" i="28"/>
  <c r="F151" i="28"/>
  <c r="AF149" i="32" s="1"/>
  <c r="E151" i="28"/>
  <c r="D151" i="28"/>
  <c r="C151" i="28"/>
  <c r="O150" i="28"/>
  <c r="K150" i="28"/>
  <c r="J150" i="28"/>
  <c r="F150" i="28"/>
  <c r="AF148" i="32" s="1"/>
  <c r="E150" i="28"/>
  <c r="D150" i="28"/>
  <c r="C150" i="28"/>
  <c r="O149" i="28"/>
  <c r="K149" i="28"/>
  <c r="J149" i="28"/>
  <c r="F149" i="28"/>
  <c r="AF147" i="32" s="1"/>
  <c r="E149" i="28"/>
  <c r="D149" i="28"/>
  <c r="C149" i="28"/>
  <c r="O148" i="28"/>
  <c r="K148" i="28"/>
  <c r="J148" i="28"/>
  <c r="F148" i="28"/>
  <c r="AF146" i="32" s="1"/>
  <c r="E148" i="28"/>
  <c r="D148" i="28"/>
  <c r="C148" i="28"/>
  <c r="O147" i="28"/>
  <c r="K147" i="28"/>
  <c r="J147" i="28"/>
  <c r="F147" i="28"/>
  <c r="AF145" i="32" s="1"/>
  <c r="E147" i="28"/>
  <c r="D147" i="28"/>
  <c r="C147" i="28"/>
  <c r="O146" i="28"/>
  <c r="K146" i="28"/>
  <c r="J146" i="28"/>
  <c r="F146" i="28"/>
  <c r="AF144" i="32" s="1"/>
  <c r="E146" i="28"/>
  <c r="D146" i="28"/>
  <c r="C146" i="28"/>
  <c r="O145" i="28"/>
  <c r="K145" i="28"/>
  <c r="J145" i="28"/>
  <c r="F145" i="28"/>
  <c r="AF143" i="32" s="1"/>
  <c r="E145" i="28"/>
  <c r="D145" i="28"/>
  <c r="C145" i="28"/>
  <c r="O144" i="28"/>
  <c r="K144" i="28"/>
  <c r="J144" i="28"/>
  <c r="F144" i="28"/>
  <c r="AF142" i="32" s="1"/>
  <c r="E144" i="28"/>
  <c r="D144" i="28"/>
  <c r="C144" i="28"/>
  <c r="O143" i="28"/>
  <c r="K143" i="28"/>
  <c r="J143" i="28"/>
  <c r="F143" i="28"/>
  <c r="AF141" i="32" s="1"/>
  <c r="E143" i="28"/>
  <c r="D143" i="28"/>
  <c r="C143" i="28"/>
  <c r="O142" i="28"/>
  <c r="K142" i="28"/>
  <c r="J142" i="28"/>
  <c r="F142" i="28"/>
  <c r="AF140" i="32" s="1"/>
  <c r="E142" i="28"/>
  <c r="D142" i="28"/>
  <c r="C142" i="28"/>
  <c r="O141" i="28"/>
  <c r="K141" i="28"/>
  <c r="J141" i="28"/>
  <c r="F141" i="28"/>
  <c r="AF139" i="32" s="1"/>
  <c r="E141" i="28"/>
  <c r="D141" i="28"/>
  <c r="C141" i="28"/>
  <c r="O140" i="28"/>
  <c r="K140" i="28"/>
  <c r="J140" i="28"/>
  <c r="F140" i="28"/>
  <c r="AF138" i="32" s="1"/>
  <c r="E140" i="28"/>
  <c r="D140" i="28"/>
  <c r="C140" i="28"/>
  <c r="O139" i="28"/>
  <c r="K139" i="28"/>
  <c r="J139" i="28"/>
  <c r="F139" i="28"/>
  <c r="AF136" i="32" s="1"/>
  <c r="E139" i="28"/>
  <c r="D139" i="28"/>
  <c r="C139" i="28"/>
  <c r="O138" i="28"/>
  <c r="K138" i="28"/>
  <c r="J138" i="28"/>
  <c r="F138" i="28"/>
  <c r="AF135" i="32" s="1"/>
  <c r="E138" i="28"/>
  <c r="D138" i="28"/>
  <c r="C138" i="28"/>
  <c r="O137" i="28"/>
  <c r="K137" i="28"/>
  <c r="J137" i="28"/>
  <c r="F137" i="28"/>
  <c r="AF134" i="32" s="1"/>
  <c r="E137" i="28"/>
  <c r="D137" i="28"/>
  <c r="C137" i="28"/>
  <c r="O136" i="28"/>
  <c r="K136" i="28"/>
  <c r="J136" i="28"/>
  <c r="F136" i="28"/>
  <c r="AF133" i="32" s="1"/>
  <c r="E136" i="28"/>
  <c r="D136" i="28"/>
  <c r="C136" i="28"/>
  <c r="O135" i="28"/>
  <c r="K135" i="28"/>
  <c r="J135" i="28"/>
  <c r="F135" i="28"/>
  <c r="AF132" i="32" s="1"/>
  <c r="E135" i="28"/>
  <c r="D135" i="28"/>
  <c r="C135" i="28"/>
  <c r="O134" i="28"/>
  <c r="K134" i="28"/>
  <c r="J134" i="28"/>
  <c r="F134" i="28"/>
  <c r="AF131" i="32" s="1"/>
  <c r="E134" i="28"/>
  <c r="D134" i="28"/>
  <c r="C134" i="28"/>
  <c r="O133" i="28"/>
  <c r="K133" i="28"/>
  <c r="J133" i="28"/>
  <c r="F133" i="28"/>
  <c r="AF130" i="32" s="1"/>
  <c r="E133" i="28"/>
  <c r="D133" i="28"/>
  <c r="C133" i="28"/>
  <c r="O132" i="28"/>
  <c r="K132" i="28"/>
  <c r="J132" i="28"/>
  <c r="F132" i="28"/>
  <c r="AF129" i="32" s="1"/>
  <c r="E132" i="28"/>
  <c r="D132" i="28"/>
  <c r="C132" i="28"/>
  <c r="O131" i="28"/>
  <c r="K131" i="28"/>
  <c r="J131" i="28"/>
  <c r="F131" i="28"/>
  <c r="AF128" i="32" s="1"/>
  <c r="E131" i="28"/>
  <c r="D131" i="28"/>
  <c r="C131" i="28"/>
  <c r="O130" i="28"/>
  <c r="K130" i="28"/>
  <c r="J130" i="28"/>
  <c r="F130" i="28"/>
  <c r="AF127" i="32" s="1"/>
  <c r="E130" i="28"/>
  <c r="D130" i="28"/>
  <c r="C130" i="28"/>
  <c r="O129" i="28"/>
  <c r="K129" i="28"/>
  <c r="J129" i="28"/>
  <c r="F129" i="28"/>
  <c r="AF126" i="32" s="1"/>
  <c r="E129" i="28"/>
  <c r="D129" i="28"/>
  <c r="C129" i="28"/>
  <c r="O128" i="28"/>
  <c r="K128" i="28"/>
  <c r="J128" i="28"/>
  <c r="F128" i="28"/>
  <c r="AF125" i="32" s="1"/>
  <c r="E128" i="28"/>
  <c r="D128" i="28"/>
  <c r="C128" i="28"/>
  <c r="O127" i="28"/>
  <c r="K127" i="28"/>
  <c r="J127" i="28"/>
  <c r="F127" i="28"/>
  <c r="AF124" i="32" s="1"/>
  <c r="E127" i="28"/>
  <c r="D127" i="28"/>
  <c r="C127" i="28"/>
  <c r="O126" i="28"/>
  <c r="K126" i="28"/>
  <c r="J126" i="28"/>
  <c r="F126" i="28"/>
  <c r="AF123" i="32" s="1"/>
  <c r="E126" i="28"/>
  <c r="D126" i="28"/>
  <c r="C126" i="28"/>
  <c r="O125" i="28"/>
  <c r="K125" i="28"/>
  <c r="J125" i="28"/>
  <c r="F125" i="28"/>
  <c r="AF122" i="32" s="1"/>
  <c r="E125" i="28"/>
  <c r="D125" i="28"/>
  <c r="C125" i="28"/>
  <c r="O124" i="28"/>
  <c r="K124" i="28"/>
  <c r="J124" i="28"/>
  <c r="F124" i="28"/>
  <c r="AF121" i="32" s="1"/>
  <c r="E124" i="28"/>
  <c r="D124" i="28"/>
  <c r="C124" i="28"/>
  <c r="O123" i="28"/>
  <c r="K123" i="28"/>
  <c r="J123" i="28"/>
  <c r="F123" i="28"/>
  <c r="AF120" i="32" s="1"/>
  <c r="E123" i="28"/>
  <c r="D123" i="28"/>
  <c r="C123" i="28"/>
  <c r="O122" i="28"/>
  <c r="K122" i="28"/>
  <c r="J122" i="28"/>
  <c r="F122" i="28"/>
  <c r="AF119" i="32" s="1"/>
  <c r="E122" i="28"/>
  <c r="D122" i="28"/>
  <c r="C122" i="28"/>
  <c r="O121" i="28"/>
  <c r="K121" i="28"/>
  <c r="J121" i="28"/>
  <c r="F121" i="28"/>
  <c r="AF118" i="32" s="1"/>
  <c r="E121" i="28"/>
  <c r="D121" i="28"/>
  <c r="C121" i="28"/>
  <c r="O120" i="28"/>
  <c r="K120" i="28"/>
  <c r="J120" i="28"/>
  <c r="F120" i="28"/>
  <c r="AF117" i="32" s="1"/>
  <c r="E120" i="28"/>
  <c r="D120" i="28"/>
  <c r="C120" i="28"/>
  <c r="O119" i="28"/>
  <c r="K119" i="28"/>
  <c r="J119" i="28"/>
  <c r="F119" i="28"/>
  <c r="AF116" i="32" s="1"/>
  <c r="E119" i="28"/>
  <c r="D119" i="28"/>
  <c r="C119" i="28"/>
  <c r="O118" i="28"/>
  <c r="K118" i="28"/>
  <c r="J118" i="28"/>
  <c r="F118" i="28"/>
  <c r="AF115" i="32" s="1"/>
  <c r="E118" i="28"/>
  <c r="D118" i="28"/>
  <c r="C118" i="28"/>
  <c r="O117" i="28"/>
  <c r="K117" i="28"/>
  <c r="J117" i="28"/>
  <c r="F117" i="28"/>
  <c r="AF114" i="32" s="1"/>
  <c r="E117" i="28"/>
  <c r="D117" i="28"/>
  <c r="C117" i="28"/>
  <c r="O116" i="28"/>
  <c r="K116" i="28"/>
  <c r="J116" i="28"/>
  <c r="F116" i="28"/>
  <c r="AF113" i="32" s="1"/>
  <c r="E116" i="28"/>
  <c r="D116" i="28"/>
  <c r="C116" i="28"/>
  <c r="O115" i="28"/>
  <c r="K115" i="28"/>
  <c r="J115" i="28"/>
  <c r="F115" i="28"/>
  <c r="AF112" i="32" s="1"/>
  <c r="E115" i="28"/>
  <c r="D115" i="28"/>
  <c r="C115" i="28"/>
  <c r="O114" i="28"/>
  <c r="K114" i="28"/>
  <c r="J114" i="28"/>
  <c r="F114" i="28"/>
  <c r="AF111" i="32" s="1"/>
  <c r="E114" i="28"/>
  <c r="D114" i="28"/>
  <c r="C114" i="28"/>
  <c r="O113" i="28"/>
  <c r="K113" i="28"/>
  <c r="J113" i="28"/>
  <c r="F113" i="28"/>
  <c r="AF110" i="32" s="1"/>
  <c r="E113" i="28"/>
  <c r="D113" i="28"/>
  <c r="C113" i="28"/>
  <c r="O112" i="28"/>
  <c r="K112" i="28"/>
  <c r="J112" i="28"/>
  <c r="F112" i="28"/>
  <c r="AF109" i="32" s="1"/>
  <c r="E112" i="28"/>
  <c r="D112" i="28"/>
  <c r="C112" i="28"/>
  <c r="O111" i="28"/>
  <c r="K111" i="28"/>
  <c r="J111" i="28"/>
  <c r="F111" i="28"/>
  <c r="AF107" i="32" s="1"/>
  <c r="E111" i="28"/>
  <c r="D111" i="28"/>
  <c r="C111" i="28"/>
  <c r="O110" i="28"/>
  <c r="K110" i="28"/>
  <c r="J110" i="28"/>
  <c r="F110" i="28"/>
  <c r="AF108" i="32" s="1"/>
  <c r="E110" i="28"/>
  <c r="D110" i="28"/>
  <c r="C110" i="28"/>
  <c r="O109" i="28"/>
  <c r="K109" i="28"/>
  <c r="J109" i="28"/>
  <c r="F109" i="28"/>
  <c r="AF106" i="32" s="1"/>
  <c r="E109" i="28"/>
  <c r="D109" i="28"/>
  <c r="C109" i="28"/>
  <c r="O108" i="28"/>
  <c r="K108" i="28"/>
  <c r="J108" i="28"/>
  <c r="F108" i="28"/>
  <c r="AF105" i="32" s="1"/>
  <c r="E108" i="28"/>
  <c r="D108" i="28"/>
  <c r="C108" i="28"/>
  <c r="O107" i="28"/>
  <c r="K107" i="28"/>
  <c r="J107" i="28"/>
  <c r="F107" i="28"/>
  <c r="AF104" i="32" s="1"/>
  <c r="E107" i="28"/>
  <c r="D107" i="28"/>
  <c r="C107" i="28"/>
  <c r="O106" i="28"/>
  <c r="K106" i="28"/>
  <c r="J106" i="28"/>
  <c r="F106" i="28"/>
  <c r="AF103" i="32" s="1"/>
  <c r="E106" i="28"/>
  <c r="D106" i="28"/>
  <c r="C106" i="28"/>
  <c r="O105" i="28"/>
  <c r="K105" i="28"/>
  <c r="J105" i="28"/>
  <c r="F105" i="28"/>
  <c r="AF102" i="32" s="1"/>
  <c r="E105" i="28"/>
  <c r="D105" i="28"/>
  <c r="C105" i="28"/>
  <c r="O104" i="28"/>
  <c r="K104" i="28"/>
  <c r="J104" i="28"/>
  <c r="F104" i="28"/>
  <c r="AF101" i="32" s="1"/>
  <c r="E104" i="28"/>
  <c r="D104" i="28"/>
  <c r="C104" i="28"/>
  <c r="O103" i="28"/>
  <c r="K103" i="28"/>
  <c r="J103" i="28"/>
  <c r="F103" i="28"/>
  <c r="AF100" i="32" s="1"/>
  <c r="E103" i="28"/>
  <c r="D103" i="28"/>
  <c r="C103" i="28"/>
  <c r="O102" i="28"/>
  <c r="K102" i="28"/>
  <c r="J102" i="28"/>
  <c r="F102" i="28"/>
  <c r="AF99" i="32" s="1"/>
  <c r="E102" i="28"/>
  <c r="D102" i="28"/>
  <c r="C102" i="28"/>
  <c r="O101" i="28"/>
  <c r="K101" i="28"/>
  <c r="J101" i="28"/>
  <c r="F101" i="28"/>
  <c r="AF98" i="32" s="1"/>
  <c r="E101" i="28"/>
  <c r="D101" i="28"/>
  <c r="C101" i="28"/>
  <c r="O100" i="28"/>
  <c r="K100" i="28"/>
  <c r="J100" i="28"/>
  <c r="F100" i="28"/>
  <c r="AF97" i="32" s="1"/>
  <c r="E100" i="28"/>
  <c r="D100" i="28"/>
  <c r="C100" i="28"/>
  <c r="O99" i="28"/>
  <c r="K99" i="28"/>
  <c r="J99" i="28"/>
  <c r="F99" i="28"/>
  <c r="AF96" i="32" s="1"/>
  <c r="E99" i="28"/>
  <c r="D99" i="28"/>
  <c r="C99" i="28"/>
  <c r="O98" i="28"/>
  <c r="K98" i="28"/>
  <c r="J98" i="28"/>
  <c r="F98" i="28"/>
  <c r="AF95" i="32" s="1"/>
  <c r="E98" i="28"/>
  <c r="D98" i="28"/>
  <c r="C98" i="28"/>
  <c r="O97" i="28"/>
  <c r="K97" i="28"/>
  <c r="J97" i="28"/>
  <c r="F97" i="28"/>
  <c r="AF94" i="32" s="1"/>
  <c r="E97" i="28"/>
  <c r="D97" i="28"/>
  <c r="C97" i="28"/>
  <c r="O96" i="28"/>
  <c r="K96" i="28"/>
  <c r="J96" i="28"/>
  <c r="F96" i="28"/>
  <c r="AF93" i="32" s="1"/>
  <c r="E96" i="28"/>
  <c r="D96" i="28"/>
  <c r="C96" i="28"/>
  <c r="O95" i="28"/>
  <c r="K95" i="28"/>
  <c r="J95" i="28"/>
  <c r="F95" i="28"/>
  <c r="AF92" i="32" s="1"/>
  <c r="E95" i="28"/>
  <c r="D95" i="28"/>
  <c r="C95" i="28"/>
  <c r="O94" i="28"/>
  <c r="K94" i="28"/>
  <c r="J94" i="28"/>
  <c r="F94" i="28"/>
  <c r="AF91" i="32" s="1"/>
  <c r="E94" i="28"/>
  <c r="D94" i="28"/>
  <c r="C94" i="28"/>
  <c r="O93" i="28"/>
  <c r="K93" i="28"/>
  <c r="J93" i="28"/>
  <c r="F93" i="28"/>
  <c r="AF90" i="32" s="1"/>
  <c r="E93" i="28"/>
  <c r="D93" i="28"/>
  <c r="C93" i="28"/>
  <c r="O92" i="28"/>
  <c r="K92" i="28"/>
  <c r="J92" i="28"/>
  <c r="F92" i="28"/>
  <c r="AF89" i="32" s="1"/>
  <c r="E92" i="28"/>
  <c r="D92" i="28"/>
  <c r="C92" i="28"/>
  <c r="O91" i="28"/>
  <c r="K91" i="28"/>
  <c r="J91" i="28"/>
  <c r="F91" i="28"/>
  <c r="AF88" i="32" s="1"/>
  <c r="E91" i="28"/>
  <c r="D91" i="28"/>
  <c r="C91" i="28"/>
  <c r="O90" i="28"/>
  <c r="K90" i="28"/>
  <c r="J90" i="28"/>
  <c r="F90" i="28"/>
  <c r="AF87" i="32" s="1"/>
  <c r="E90" i="28"/>
  <c r="D90" i="28"/>
  <c r="C90" i="28"/>
  <c r="O89" i="28"/>
  <c r="K89" i="28"/>
  <c r="J89" i="28"/>
  <c r="F89" i="28"/>
  <c r="AF86" i="32" s="1"/>
  <c r="E89" i="28"/>
  <c r="D89" i="28"/>
  <c r="C89" i="28"/>
  <c r="O88" i="28"/>
  <c r="K88" i="28"/>
  <c r="J88" i="28"/>
  <c r="F88" i="28"/>
  <c r="AF85" i="32" s="1"/>
  <c r="E88" i="28"/>
  <c r="D88" i="28"/>
  <c r="C88" i="28"/>
  <c r="O87" i="28"/>
  <c r="K87" i="28"/>
  <c r="J87" i="28"/>
  <c r="F87" i="28"/>
  <c r="AF84" i="32" s="1"/>
  <c r="E87" i="28"/>
  <c r="D87" i="28"/>
  <c r="C87" i="28"/>
  <c r="O86" i="28"/>
  <c r="K86" i="28"/>
  <c r="J86" i="28"/>
  <c r="F86" i="28"/>
  <c r="AF83" i="32" s="1"/>
  <c r="E86" i="28"/>
  <c r="D86" i="28"/>
  <c r="C86" i="28"/>
  <c r="O85" i="28"/>
  <c r="K85" i="28"/>
  <c r="J85" i="28"/>
  <c r="F85" i="28"/>
  <c r="AF82" i="32" s="1"/>
  <c r="E85" i="28"/>
  <c r="D85" i="28"/>
  <c r="C85" i="28"/>
  <c r="O84" i="28"/>
  <c r="K84" i="28"/>
  <c r="J84" i="28"/>
  <c r="F84" i="28"/>
  <c r="AF81" i="32" s="1"/>
  <c r="E84" i="28"/>
  <c r="D84" i="28"/>
  <c r="C84" i="28"/>
  <c r="O83" i="28"/>
  <c r="K83" i="28"/>
  <c r="J83" i="28"/>
  <c r="F83" i="28"/>
  <c r="AF80" i="32" s="1"/>
  <c r="E83" i="28"/>
  <c r="D83" i="28"/>
  <c r="C83" i="28"/>
  <c r="O82" i="28"/>
  <c r="K82" i="28"/>
  <c r="J82" i="28"/>
  <c r="F82" i="28"/>
  <c r="AF79" i="32" s="1"/>
  <c r="E82" i="28"/>
  <c r="D82" i="28"/>
  <c r="C82" i="28"/>
  <c r="O81" i="28"/>
  <c r="K81" i="28"/>
  <c r="J81" i="28"/>
  <c r="F81" i="28"/>
  <c r="AF78" i="32" s="1"/>
  <c r="E81" i="28"/>
  <c r="D81" i="28"/>
  <c r="C81" i="28"/>
  <c r="O80" i="28"/>
  <c r="K80" i="28"/>
  <c r="J80" i="28"/>
  <c r="F80" i="28"/>
  <c r="AF77" i="32" s="1"/>
  <c r="E80" i="28"/>
  <c r="D80" i="28"/>
  <c r="C80" i="28"/>
  <c r="O79" i="28"/>
  <c r="K79" i="28"/>
  <c r="J79" i="28"/>
  <c r="F79" i="28"/>
  <c r="AF76" i="32" s="1"/>
  <c r="E79" i="28"/>
  <c r="D79" i="28"/>
  <c r="C79" i="28"/>
  <c r="O78" i="28"/>
  <c r="K78" i="28"/>
  <c r="J78" i="28"/>
  <c r="F78" i="28"/>
  <c r="AF75" i="32" s="1"/>
  <c r="E78" i="28"/>
  <c r="D78" i="28"/>
  <c r="C78" i="28"/>
  <c r="O77" i="28"/>
  <c r="K77" i="28"/>
  <c r="J77" i="28"/>
  <c r="F77" i="28"/>
  <c r="AF74" i="32" s="1"/>
  <c r="E77" i="28"/>
  <c r="D77" i="28"/>
  <c r="C77" i="28"/>
  <c r="O76" i="28"/>
  <c r="K76" i="28"/>
  <c r="J76" i="28"/>
  <c r="F76" i="28"/>
  <c r="AF73" i="32" s="1"/>
  <c r="E76" i="28"/>
  <c r="D76" i="28"/>
  <c r="C76" i="28"/>
  <c r="O75" i="28"/>
  <c r="K75" i="28"/>
  <c r="J75" i="28"/>
  <c r="F75" i="28"/>
  <c r="AF72" i="32" s="1"/>
  <c r="E75" i="28"/>
  <c r="D75" i="28"/>
  <c r="C75" i="28"/>
  <c r="O74" i="28"/>
  <c r="K74" i="28"/>
  <c r="J74" i="28"/>
  <c r="F74" i="28"/>
  <c r="AF71" i="32" s="1"/>
  <c r="E74" i="28"/>
  <c r="D74" i="28"/>
  <c r="C74" i="28"/>
  <c r="O73" i="28"/>
  <c r="K73" i="28"/>
  <c r="J73" i="28"/>
  <c r="F73" i="28"/>
  <c r="AF70" i="32" s="1"/>
  <c r="E73" i="28"/>
  <c r="D73" i="28"/>
  <c r="C73" i="28"/>
  <c r="O72" i="28"/>
  <c r="K72" i="28"/>
  <c r="J72" i="28"/>
  <c r="F72" i="28"/>
  <c r="AF69" i="32" s="1"/>
  <c r="E72" i="28"/>
  <c r="D72" i="28"/>
  <c r="C72" i="28"/>
  <c r="O71" i="28"/>
  <c r="K71" i="28"/>
  <c r="J71" i="28"/>
  <c r="F71" i="28"/>
  <c r="AF68" i="32" s="1"/>
  <c r="E71" i="28"/>
  <c r="D71" i="28"/>
  <c r="C71" i="28"/>
  <c r="O70" i="28"/>
  <c r="K70" i="28"/>
  <c r="J70" i="28"/>
  <c r="F70" i="28"/>
  <c r="AF67" i="32" s="1"/>
  <c r="E70" i="28"/>
  <c r="D70" i="28"/>
  <c r="C70" i="28"/>
  <c r="O69" i="28"/>
  <c r="K69" i="28"/>
  <c r="J69" i="28"/>
  <c r="F69" i="28"/>
  <c r="AF66" i="32" s="1"/>
  <c r="E69" i="28"/>
  <c r="D69" i="28"/>
  <c r="C69" i="28"/>
  <c r="O68" i="28"/>
  <c r="K68" i="28"/>
  <c r="J68" i="28"/>
  <c r="F68" i="28"/>
  <c r="AF65" i="32" s="1"/>
  <c r="E68" i="28"/>
  <c r="D68" i="28"/>
  <c r="C68" i="28"/>
  <c r="O67" i="28"/>
  <c r="K67" i="28"/>
  <c r="J67" i="28"/>
  <c r="F67" i="28"/>
  <c r="AF64" i="32" s="1"/>
  <c r="E67" i="28"/>
  <c r="D67" i="28"/>
  <c r="C67" i="28"/>
  <c r="O66" i="28"/>
  <c r="K66" i="28"/>
  <c r="J66" i="28"/>
  <c r="F66" i="28"/>
  <c r="AF63" i="32" s="1"/>
  <c r="E66" i="28"/>
  <c r="D66" i="28"/>
  <c r="C66" i="28"/>
  <c r="O65" i="28"/>
  <c r="K65" i="28"/>
  <c r="J65" i="28"/>
  <c r="F65" i="28"/>
  <c r="AF62" i="32" s="1"/>
  <c r="E65" i="28"/>
  <c r="D65" i="28"/>
  <c r="C65" i="28"/>
  <c r="O64" i="28"/>
  <c r="K64" i="28"/>
  <c r="J64" i="28"/>
  <c r="F64" i="28"/>
  <c r="AF61" i="32" s="1"/>
  <c r="E64" i="28"/>
  <c r="D64" i="28"/>
  <c r="C64" i="28"/>
  <c r="O63" i="28"/>
  <c r="K63" i="28"/>
  <c r="J63" i="28"/>
  <c r="F63" i="28"/>
  <c r="AF60" i="32" s="1"/>
  <c r="E63" i="28"/>
  <c r="D63" i="28"/>
  <c r="C63" i="28"/>
  <c r="O62" i="28"/>
  <c r="K62" i="28"/>
  <c r="J62" i="28"/>
  <c r="F62" i="28"/>
  <c r="AF59" i="32" s="1"/>
  <c r="E62" i="28"/>
  <c r="D62" i="28"/>
  <c r="C62" i="28"/>
  <c r="O61" i="28"/>
  <c r="K61" i="28"/>
  <c r="J61" i="28"/>
  <c r="F61" i="28"/>
  <c r="AF58" i="32" s="1"/>
  <c r="E61" i="28"/>
  <c r="D61" i="28"/>
  <c r="C61" i="28"/>
  <c r="O60" i="28"/>
  <c r="K60" i="28"/>
  <c r="J60" i="28"/>
  <c r="F60" i="28"/>
  <c r="AF57" i="32" s="1"/>
  <c r="E60" i="28"/>
  <c r="D60" i="28"/>
  <c r="C60" i="28"/>
  <c r="O59" i="28"/>
  <c r="K59" i="28"/>
  <c r="J59" i="28"/>
  <c r="F59" i="28"/>
  <c r="AF56" i="32" s="1"/>
  <c r="E59" i="28"/>
  <c r="D59" i="28"/>
  <c r="C59" i="28"/>
  <c r="O58" i="28"/>
  <c r="K58" i="28"/>
  <c r="J58" i="28"/>
  <c r="F58" i="28"/>
  <c r="AF55" i="32" s="1"/>
  <c r="E58" i="28"/>
  <c r="D58" i="28"/>
  <c r="C58" i="28"/>
  <c r="O57" i="28"/>
  <c r="K57" i="28"/>
  <c r="J57" i="28"/>
  <c r="F57" i="28"/>
  <c r="AF54" i="32" s="1"/>
  <c r="E57" i="28"/>
  <c r="D57" i="28"/>
  <c r="C57" i="28"/>
  <c r="O56" i="28"/>
  <c r="K56" i="28"/>
  <c r="J56" i="28"/>
  <c r="F56" i="28"/>
  <c r="AF53" i="32" s="1"/>
  <c r="E56" i="28"/>
  <c r="D56" i="28"/>
  <c r="C56" i="28"/>
  <c r="O55" i="28"/>
  <c r="K55" i="28"/>
  <c r="J55" i="28"/>
  <c r="F55" i="28"/>
  <c r="AF52" i="32" s="1"/>
  <c r="E55" i="28"/>
  <c r="D55" i="28"/>
  <c r="C55" i="28"/>
  <c r="O54" i="28"/>
  <c r="K54" i="28"/>
  <c r="J54" i="28"/>
  <c r="F54" i="28"/>
  <c r="AF51" i="32" s="1"/>
  <c r="E54" i="28"/>
  <c r="D54" i="28"/>
  <c r="C54" i="28"/>
  <c r="O53" i="28"/>
  <c r="K53" i="28"/>
  <c r="J53" i="28"/>
  <c r="F53" i="28"/>
  <c r="AF50" i="32" s="1"/>
  <c r="E53" i="28"/>
  <c r="D53" i="28"/>
  <c r="C53" i="28"/>
  <c r="O52" i="28"/>
  <c r="K52" i="28"/>
  <c r="J52" i="28"/>
  <c r="F52" i="28"/>
  <c r="AF49" i="32" s="1"/>
  <c r="E52" i="28"/>
  <c r="D52" i="28"/>
  <c r="C52" i="28"/>
  <c r="O51" i="28"/>
  <c r="K51" i="28"/>
  <c r="J51" i="28"/>
  <c r="F51" i="28"/>
  <c r="AF48" i="32" s="1"/>
  <c r="E51" i="28"/>
  <c r="D51" i="28"/>
  <c r="C51" i="28"/>
  <c r="O50" i="28"/>
  <c r="K50" i="28"/>
  <c r="J50" i="28"/>
  <c r="F50" i="28"/>
  <c r="AF47" i="32" s="1"/>
  <c r="E50" i="28"/>
  <c r="D50" i="28"/>
  <c r="C50" i="28"/>
  <c r="O49" i="28"/>
  <c r="K49" i="28"/>
  <c r="J49" i="28"/>
  <c r="F49" i="28"/>
  <c r="AF46" i="32" s="1"/>
  <c r="E49" i="28"/>
  <c r="D49" i="28"/>
  <c r="C49" i="28"/>
  <c r="O48" i="28"/>
  <c r="K48" i="28"/>
  <c r="J48" i="28"/>
  <c r="F48" i="28"/>
  <c r="AF45" i="32" s="1"/>
  <c r="E48" i="28"/>
  <c r="D48" i="28"/>
  <c r="C48" i="28"/>
  <c r="O47" i="28"/>
  <c r="K47" i="28"/>
  <c r="J47" i="28"/>
  <c r="F47" i="28"/>
  <c r="AF44" i="32" s="1"/>
  <c r="E47" i="28"/>
  <c r="D47" i="28"/>
  <c r="C47" i="28"/>
  <c r="O46" i="28"/>
  <c r="K46" i="28"/>
  <c r="J46" i="28"/>
  <c r="F46" i="28"/>
  <c r="AF43" i="32" s="1"/>
  <c r="E46" i="28"/>
  <c r="D46" i="28"/>
  <c r="C46" i="28"/>
  <c r="O45" i="28"/>
  <c r="K45" i="28"/>
  <c r="J45" i="28"/>
  <c r="F45" i="28"/>
  <c r="AF42" i="32" s="1"/>
  <c r="E45" i="28"/>
  <c r="D45" i="28"/>
  <c r="C45" i="28"/>
  <c r="O44" i="28"/>
  <c r="K44" i="28"/>
  <c r="J44" i="28"/>
  <c r="F44" i="28"/>
  <c r="AF41" i="32" s="1"/>
  <c r="E44" i="28"/>
  <c r="D44" i="28"/>
  <c r="C44" i="28"/>
  <c r="O43" i="28"/>
  <c r="K43" i="28"/>
  <c r="J43" i="28"/>
  <c r="F43" i="28"/>
  <c r="AF40" i="32" s="1"/>
  <c r="E43" i="28"/>
  <c r="D43" i="28"/>
  <c r="C43" i="28"/>
  <c r="O42" i="28"/>
  <c r="K42" i="28"/>
  <c r="J42" i="28"/>
  <c r="F42" i="28"/>
  <c r="AF39" i="32" s="1"/>
  <c r="E42" i="28"/>
  <c r="D42" i="28"/>
  <c r="C42" i="28"/>
  <c r="O41" i="28"/>
  <c r="K41" i="28"/>
  <c r="J41" i="28"/>
  <c r="F41" i="28"/>
  <c r="AF38" i="32" s="1"/>
  <c r="E41" i="28"/>
  <c r="D41" i="28"/>
  <c r="C41" i="28"/>
  <c r="O40" i="28"/>
  <c r="K40" i="28"/>
  <c r="J40" i="28"/>
  <c r="F40" i="28"/>
  <c r="AF37" i="32" s="1"/>
  <c r="E40" i="28"/>
  <c r="D40" i="28"/>
  <c r="C40" i="28"/>
  <c r="O39" i="28"/>
  <c r="K39" i="28"/>
  <c r="J39" i="28"/>
  <c r="F39" i="28"/>
  <c r="AF36" i="32" s="1"/>
  <c r="E39" i="28"/>
  <c r="D39" i="28"/>
  <c r="C39" i="28"/>
  <c r="O38" i="28"/>
  <c r="K38" i="28"/>
  <c r="J38" i="28"/>
  <c r="F38" i="28"/>
  <c r="AF35" i="32" s="1"/>
  <c r="E38" i="28"/>
  <c r="D38" i="28"/>
  <c r="C38" i="28"/>
  <c r="O37" i="28"/>
  <c r="K37" i="28"/>
  <c r="J37" i="28"/>
  <c r="F37" i="28"/>
  <c r="AF34" i="32" s="1"/>
  <c r="E37" i="28"/>
  <c r="D37" i="28"/>
  <c r="C37" i="28"/>
  <c r="O36" i="28"/>
  <c r="K36" i="28"/>
  <c r="J36" i="28"/>
  <c r="F36" i="28"/>
  <c r="AF33" i="32" s="1"/>
  <c r="E36" i="28"/>
  <c r="D36" i="28"/>
  <c r="C36" i="28"/>
  <c r="O35" i="28"/>
  <c r="K35" i="28"/>
  <c r="J35" i="28"/>
  <c r="F35" i="28"/>
  <c r="AF32" i="32" s="1"/>
  <c r="E35" i="28"/>
  <c r="D35" i="28"/>
  <c r="C35" i="28"/>
  <c r="O34" i="28"/>
  <c r="K34" i="28"/>
  <c r="J34" i="28"/>
  <c r="F34" i="28"/>
  <c r="AF31" i="32" s="1"/>
  <c r="E34" i="28"/>
  <c r="D34" i="28"/>
  <c r="C34" i="28"/>
  <c r="O33" i="28"/>
  <c r="K33" i="28"/>
  <c r="J33" i="28"/>
  <c r="F33" i="28"/>
  <c r="AF30" i="32" s="1"/>
  <c r="E33" i="28"/>
  <c r="D33" i="28"/>
  <c r="C33" i="28"/>
  <c r="O32" i="28"/>
  <c r="K32" i="28"/>
  <c r="J32" i="28"/>
  <c r="F32" i="28"/>
  <c r="AF29" i="32" s="1"/>
  <c r="E32" i="28"/>
  <c r="D32" i="28"/>
  <c r="C32" i="28"/>
  <c r="O31" i="28"/>
  <c r="K31" i="28"/>
  <c r="J31" i="28"/>
  <c r="F31" i="28"/>
  <c r="AF28" i="32" s="1"/>
  <c r="E31" i="28"/>
  <c r="D31" i="28"/>
  <c r="C31" i="28"/>
  <c r="O30" i="28"/>
  <c r="K30" i="28"/>
  <c r="J30" i="28"/>
  <c r="F30" i="28"/>
  <c r="AF27" i="32" s="1"/>
  <c r="E30" i="28"/>
  <c r="D30" i="28"/>
  <c r="C30" i="28"/>
  <c r="O29" i="28"/>
  <c r="K29" i="28"/>
  <c r="J29" i="28"/>
  <c r="F29" i="28"/>
  <c r="AF26" i="32" s="1"/>
  <c r="E29" i="28"/>
  <c r="D29" i="28"/>
  <c r="C29" i="28"/>
  <c r="O28" i="28"/>
  <c r="K28" i="28"/>
  <c r="J28" i="28"/>
  <c r="F28" i="28"/>
  <c r="AF25" i="32" s="1"/>
  <c r="E28" i="28"/>
  <c r="D28" i="28"/>
  <c r="C28" i="28"/>
  <c r="O27" i="28"/>
  <c r="K27" i="28"/>
  <c r="J27" i="28"/>
  <c r="F27" i="28"/>
  <c r="AF24" i="32" s="1"/>
  <c r="E27" i="28"/>
  <c r="D27" i="28"/>
  <c r="C27" i="28"/>
  <c r="O26" i="28"/>
  <c r="K26" i="28"/>
  <c r="J26" i="28"/>
  <c r="F26" i="28"/>
  <c r="AF23" i="32" s="1"/>
  <c r="E26" i="28"/>
  <c r="D26" i="28"/>
  <c r="C26" i="28"/>
  <c r="O25" i="28"/>
  <c r="K25" i="28"/>
  <c r="J25" i="28"/>
  <c r="F25" i="28"/>
  <c r="AF22" i="32" s="1"/>
  <c r="E25" i="28"/>
  <c r="D25" i="28"/>
  <c r="C25" i="28"/>
  <c r="O24" i="28"/>
  <c r="K24" i="28"/>
  <c r="J24" i="28"/>
  <c r="F24" i="28"/>
  <c r="AF21" i="32" s="1"/>
  <c r="E24" i="28"/>
  <c r="D24" i="28"/>
  <c r="C24" i="28"/>
  <c r="O23" i="28"/>
  <c r="K23" i="28"/>
  <c r="J23" i="28"/>
  <c r="F23" i="28"/>
  <c r="AF20" i="32" s="1"/>
  <c r="E23" i="28"/>
  <c r="D23" i="28"/>
  <c r="C23" i="28"/>
  <c r="O22" i="28"/>
  <c r="K22" i="28"/>
  <c r="J22" i="28"/>
  <c r="F22" i="28"/>
  <c r="AF19" i="32" s="1"/>
  <c r="E22" i="28"/>
  <c r="D22" i="28"/>
  <c r="C22" i="28"/>
  <c r="O21" i="28"/>
  <c r="K21" i="28"/>
  <c r="J21" i="28"/>
  <c r="F21" i="28"/>
  <c r="AF18" i="32" s="1"/>
  <c r="E21" i="28"/>
  <c r="D21" i="28"/>
  <c r="C21" i="28"/>
  <c r="O20" i="28"/>
  <c r="K20" i="28"/>
  <c r="J20" i="28"/>
  <c r="F20" i="28"/>
  <c r="AF17" i="32" s="1"/>
  <c r="E20" i="28"/>
  <c r="D20" i="28"/>
  <c r="C20" i="28"/>
  <c r="O19" i="28"/>
  <c r="K19" i="28"/>
  <c r="J19" i="28"/>
  <c r="F19" i="28"/>
  <c r="AF16" i="32" s="1"/>
  <c r="E19" i="28"/>
  <c r="D19" i="28"/>
  <c r="C19" i="28"/>
  <c r="O18" i="28"/>
  <c r="K18" i="28"/>
  <c r="J18" i="28"/>
  <c r="F18" i="28"/>
  <c r="AF137" i="32" s="1"/>
  <c r="E18" i="28"/>
  <c r="D18" i="28"/>
  <c r="C18" i="28"/>
  <c r="O17" i="28"/>
  <c r="K17" i="28"/>
  <c r="J17" i="28"/>
  <c r="F17" i="28"/>
  <c r="AF15" i="32" s="1"/>
  <c r="E17" i="28"/>
  <c r="D17" i="28"/>
  <c r="C17" i="28"/>
  <c r="O16" i="28"/>
  <c r="K16" i="28"/>
  <c r="J16" i="28"/>
  <c r="F16" i="28"/>
  <c r="AF14" i="32" s="1"/>
  <c r="E16" i="28"/>
  <c r="D16" i="28"/>
  <c r="C16" i="28"/>
  <c r="O15" i="28"/>
  <c r="K15" i="28"/>
  <c r="J15" i="28"/>
  <c r="F15" i="28"/>
  <c r="AF13" i="32" s="1"/>
  <c r="E15" i="28"/>
  <c r="D15" i="28"/>
  <c r="C15" i="28"/>
  <c r="O14" i="28"/>
  <c r="K14" i="28"/>
  <c r="J14" i="28"/>
  <c r="F14" i="28"/>
  <c r="AF12" i="32" s="1"/>
  <c r="E14" i="28"/>
  <c r="D14" i="28"/>
  <c r="C14" i="28"/>
  <c r="O13" i="28"/>
  <c r="K13" i="28"/>
  <c r="J13" i="28"/>
  <c r="F13" i="28"/>
  <c r="AF11" i="32" s="1"/>
  <c r="E13" i="28"/>
  <c r="D13" i="28"/>
  <c r="C13" i="28"/>
  <c r="O12" i="28"/>
  <c r="K12" i="28"/>
  <c r="J12" i="28"/>
  <c r="F12" i="28"/>
  <c r="AF10" i="32" s="1"/>
  <c r="E12" i="28"/>
  <c r="D12" i="28"/>
  <c r="C12" i="28"/>
  <c r="O11" i="28"/>
  <c r="K11" i="28"/>
  <c r="J11" i="28"/>
  <c r="F11" i="28"/>
  <c r="AF9" i="32" s="1"/>
  <c r="E11" i="28"/>
  <c r="D11" i="28"/>
  <c r="C11" i="28"/>
  <c r="O10" i="28"/>
  <c r="K10" i="28"/>
  <c r="J10" i="28"/>
  <c r="F10" i="28"/>
  <c r="E10" i="28"/>
  <c r="D10" i="28"/>
  <c r="C10" i="28"/>
  <c r="D313" i="27"/>
  <c r="C313" i="27"/>
  <c r="F311" i="27"/>
  <c r="F310" i="27"/>
  <c r="F309" i="27"/>
  <c r="F308" i="27"/>
  <c r="F307" i="27"/>
  <c r="F306" i="27"/>
  <c r="F305" i="27"/>
  <c r="F304" i="27"/>
  <c r="F303" i="27"/>
  <c r="F302" i="27"/>
  <c r="F301" i="27"/>
  <c r="F300" i="27"/>
  <c r="F299" i="27"/>
  <c r="F298" i="27"/>
  <c r="F297" i="27"/>
  <c r="F296" i="27"/>
  <c r="F295" i="27"/>
  <c r="F294" i="27"/>
  <c r="F293" i="27"/>
  <c r="F292" i="27"/>
  <c r="F291" i="27"/>
  <c r="F290" i="27"/>
  <c r="F289" i="27"/>
  <c r="F288" i="27"/>
  <c r="F287" i="27"/>
  <c r="F286" i="27"/>
  <c r="F285" i="27"/>
  <c r="F284" i="27"/>
  <c r="F283" i="27"/>
  <c r="F282" i="27"/>
  <c r="F281" i="27"/>
  <c r="F280" i="27"/>
  <c r="F279" i="27"/>
  <c r="F278" i="27"/>
  <c r="F277" i="27"/>
  <c r="F276" i="27"/>
  <c r="F275" i="27"/>
  <c r="F274" i="27"/>
  <c r="F273" i="27"/>
  <c r="F272" i="27"/>
  <c r="F271" i="27"/>
  <c r="F270" i="27"/>
  <c r="F269" i="27"/>
  <c r="F268" i="27"/>
  <c r="F267" i="27"/>
  <c r="F266" i="27"/>
  <c r="F265" i="27"/>
  <c r="F264" i="27"/>
  <c r="F263" i="27"/>
  <c r="F262" i="27"/>
  <c r="F261" i="27"/>
  <c r="F260" i="27"/>
  <c r="F259" i="27"/>
  <c r="F258" i="27"/>
  <c r="F257" i="27"/>
  <c r="F256" i="27"/>
  <c r="F255" i="27"/>
  <c r="F254" i="27"/>
  <c r="F253" i="27"/>
  <c r="F252" i="27"/>
  <c r="F251" i="27"/>
  <c r="F250" i="27"/>
  <c r="F249" i="27"/>
  <c r="F248" i="27"/>
  <c r="F247" i="27"/>
  <c r="F246" i="27"/>
  <c r="F245" i="27"/>
  <c r="F244" i="27"/>
  <c r="F243" i="27"/>
  <c r="F242" i="27"/>
  <c r="F241" i="27"/>
  <c r="F240" i="27"/>
  <c r="F239" i="27"/>
  <c r="F238" i="27"/>
  <c r="F237" i="27"/>
  <c r="F236" i="27"/>
  <c r="F235" i="27"/>
  <c r="F234" i="27"/>
  <c r="F233" i="27"/>
  <c r="F232" i="27"/>
  <c r="F231" i="27"/>
  <c r="F230" i="27"/>
  <c r="F229" i="27"/>
  <c r="F228" i="27"/>
  <c r="F227" i="27"/>
  <c r="F226" i="27"/>
  <c r="F225" i="27"/>
  <c r="F224" i="27"/>
  <c r="F223" i="27"/>
  <c r="F222" i="27"/>
  <c r="F221" i="27"/>
  <c r="F220" i="27"/>
  <c r="F219" i="27"/>
  <c r="F218" i="27"/>
  <c r="F217" i="27"/>
  <c r="F216" i="27"/>
  <c r="F215" i="27"/>
  <c r="F214" i="27"/>
  <c r="F213" i="27"/>
  <c r="F212" i="27"/>
  <c r="F211" i="27"/>
  <c r="F210" i="27"/>
  <c r="F209" i="27"/>
  <c r="F208" i="27"/>
  <c r="F207" i="27"/>
  <c r="F206" i="27"/>
  <c r="F205" i="27"/>
  <c r="F204" i="27"/>
  <c r="F203" i="27"/>
  <c r="F202" i="27"/>
  <c r="F201" i="27"/>
  <c r="F200" i="27"/>
  <c r="F199" i="27"/>
  <c r="F198" i="27"/>
  <c r="F197" i="27"/>
  <c r="F196" i="27"/>
  <c r="F195" i="27"/>
  <c r="F194" i="27"/>
  <c r="F193" i="27"/>
  <c r="F192" i="27"/>
  <c r="F191" i="27"/>
  <c r="F190" i="27"/>
  <c r="F189" i="27"/>
  <c r="F188" i="27"/>
  <c r="F187" i="27"/>
  <c r="F186" i="27"/>
  <c r="F185" i="27"/>
  <c r="F184" i="27"/>
  <c r="F183" i="27"/>
  <c r="F182" i="27"/>
  <c r="F181" i="27"/>
  <c r="F180" i="27"/>
  <c r="F179" i="27"/>
  <c r="F178" i="27"/>
  <c r="F177" i="27"/>
  <c r="F176" i="27"/>
  <c r="F175" i="27"/>
  <c r="F174" i="27"/>
  <c r="F173" i="27"/>
  <c r="F172" i="27"/>
  <c r="F171" i="27"/>
  <c r="F170" i="27"/>
  <c r="F169" i="27"/>
  <c r="F168" i="27"/>
  <c r="F167" i="27"/>
  <c r="F166" i="27"/>
  <c r="F165" i="27"/>
  <c r="F164" i="27"/>
  <c r="F163" i="27"/>
  <c r="F162" i="27"/>
  <c r="F161" i="27"/>
  <c r="F160" i="27"/>
  <c r="F159" i="27"/>
  <c r="F158" i="27"/>
  <c r="F157" i="27"/>
  <c r="F156" i="27"/>
  <c r="F155" i="27"/>
  <c r="F154" i="27"/>
  <c r="F153" i="27"/>
  <c r="F152" i="27"/>
  <c r="F151" i="27"/>
  <c r="F150" i="27"/>
  <c r="F149" i="27"/>
  <c r="F148" i="27"/>
  <c r="F147" i="27"/>
  <c r="F146" i="27"/>
  <c r="F145" i="27"/>
  <c r="F144" i="27"/>
  <c r="F143" i="27"/>
  <c r="F142" i="27"/>
  <c r="F141" i="27"/>
  <c r="F140" i="27"/>
  <c r="F139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7" i="27"/>
  <c r="F116" i="27"/>
  <c r="F115" i="27"/>
  <c r="F114" i="27"/>
  <c r="F113" i="27"/>
  <c r="F112" i="27"/>
  <c r="F111" i="27"/>
  <c r="F110" i="27"/>
  <c r="F109" i="27"/>
  <c r="F108" i="27"/>
  <c r="F107" i="27"/>
  <c r="F106" i="27"/>
  <c r="F105" i="27"/>
  <c r="F104" i="27"/>
  <c r="F103" i="27"/>
  <c r="F102" i="27"/>
  <c r="F101" i="27"/>
  <c r="F100" i="27"/>
  <c r="F99" i="27"/>
  <c r="F98" i="27"/>
  <c r="F97" i="27"/>
  <c r="F96" i="27"/>
  <c r="F95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N17" i="41" l="1"/>
  <c r="P9" i="41"/>
  <c r="AE9" i="41" s="1"/>
  <c r="AC40" i="41"/>
  <c r="AC44" i="41" s="1"/>
  <c r="R61" i="41"/>
  <c r="AE29" i="41"/>
  <c r="Q272" i="28"/>
  <c r="G108" i="33"/>
  <c r="H108" i="33" s="1"/>
  <c r="AA110" i="32" s="1"/>
  <c r="P113" i="28" s="1"/>
  <c r="R62" i="41"/>
  <c r="AE28" i="41"/>
  <c r="Y10" i="41"/>
  <c r="AE10" i="41" s="1"/>
  <c r="P32" i="41"/>
  <c r="AE32" i="41" s="1"/>
  <c r="AE36" i="41"/>
  <c r="N38" i="41"/>
  <c r="P26" i="41"/>
  <c r="AE35" i="41"/>
  <c r="P17" i="41"/>
  <c r="R17" i="41" s="1"/>
  <c r="Y27" i="41"/>
  <c r="AE27" i="41" s="1"/>
  <c r="G242" i="33"/>
  <c r="G232" i="33"/>
  <c r="G238" i="33"/>
  <c r="G32" i="33"/>
  <c r="G39" i="33"/>
  <c r="H39" i="33" s="1"/>
  <c r="AA41" i="32" s="1"/>
  <c r="P44" i="28" s="1"/>
  <c r="Q44" i="28" s="1"/>
  <c r="Q138" i="28"/>
  <c r="Q26" i="28"/>
  <c r="G241" i="33"/>
  <c r="Q46" i="28"/>
  <c r="G29" i="33"/>
  <c r="H29" i="33" s="1"/>
  <c r="AA31" i="32" s="1"/>
  <c r="P34" i="28" s="1"/>
  <c r="Q34" i="28" s="1"/>
  <c r="G60" i="33"/>
  <c r="H60" i="33" s="1"/>
  <c r="AA62" i="32" s="1"/>
  <c r="P65" i="28" s="1"/>
  <c r="Q65" i="28" s="1"/>
  <c r="G245" i="33"/>
  <c r="H245" i="33" s="1"/>
  <c r="AA248" i="32" s="1"/>
  <c r="P250" i="28" s="1"/>
  <c r="Q250" i="28" s="1"/>
  <c r="Q214" i="28"/>
  <c r="Q62" i="28"/>
  <c r="Q259" i="28"/>
  <c r="AC314" i="32"/>
  <c r="G316" i="28" s="1"/>
  <c r="H316" i="28" s="1"/>
  <c r="G40" i="33"/>
  <c r="H40" i="33" s="1"/>
  <c r="AA42" i="32" s="1"/>
  <c r="P45" i="28" s="1"/>
  <c r="Q45" i="28" s="1"/>
  <c r="G63" i="33"/>
  <c r="H63" i="33" s="1"/>
  <c r="AA65" i="32" s="1"/>
  <c r="P68" i="28" s="1"/>
  <c r="Q68" i="28" s="1"/>
  <c r="G234" i="33"/>
  <c r="G75" i="33"/>
  <c r="G122" i="33"/>
  <c r="H122" i="33" s="1"/>
  <c r="AA124" i="32" s="1"/>
  <c r="P127" i="28" s="1"/>
  <c r="Q127" i="28" s="1"/>
  <c r="G128" i="33"/>
  <c r="H128" i="33" s="1"/>
  <c r="AA130" i="32" s="1"/>
  <c r="P133" i="28" s="1"/>
  <c r="Q133" i="28" s="1"/>
  <c r="G187" i="33"/>
  <c r="H187" i="33" s="1"/>
  <c r="AA189" i="32" s="1"/>
  <c r="P192" i="28" s="1"/>
  <c r="Q192" i="28" s="1"/>
  <c r="G193" i="33"/>
  <c r="H193" i="33" s="1"/>
  <c r="AA196" i="32" s="1"/>
  <c r="P198" i="28" s="1"/>
  <c r="Q198" i="28" s="1"/>
  <c r="G199" i="33"/>
  <c r="H199" i="33" s="1"/>
  <c r="AA202" i="32" s="1"/>
  <c r="P204" i="28" s="1"/>
  <c r="Q204" i="28" s="1"/>
  <c r="G230" i="33"/>
  <c r="G289" i="33"/>
  <c r="G8" i="33"/>
  <c r="H8" i="33" s="1"/>
  <c r="AA11" i="32" s="1"/>
  <c r="P13" i="28" s="1"/>
  <c r="Q13" i="28" s="1"/>
  <c r="G54" i="33"/>
  <c r="H54" i="33" s="1"/>
  <c r="AA56" i="32" s="1"/>
  <c r="P59" i="28" s="1"/>
  <c r="Q59" i="28" s="1"/>
  <c r="G284" i="33"/>
  <c r="H284" i="33" s="1"/>
  <c r="AA287" i="32" s="1"/>
  <c r="P289" i="28" s="1"/>
  <c r="Q289" i="28" s="1"/>
  <c r="G72" i="33"/>
  <c r="H72" i="33" s="1"/>
  <c r="G196" i="33"/>
  <c r="H196" i="33" s="1"/>
  <c r="AA199" i="32" s="1"/>
  <c r="P201" i="28" s="1"/>
  <c r="Q201" i="28" s="1"/>
  <c r="Q190" i="28"/>
  <c r="I156" i="33"/>
  <c r="O156" i="33" s="1"/>
  <c r="AA158" i="32"/>
  <c r="P161" i="28" s="1"/>
  <c r="Q161" i="28" s="1"/>
  <c r="I68" i="33"/>
  <c r="O68" i="33" s="1"/>
  <c r="AA70" i="32"/>
  <c r="P73" i="28" s="1"/>
  <c r="Q73" i="28" s="1"/>
  <c r="H45" i="33"/>
  <c r="AA47" i="32" s="1"/>
  <c r="P50" i="28" s="1"/>
  <c r="Q50" i="28" s="1"/>
  <c r="H153" i="33"/>
  <c r="AA195" i="32" s="1"/>
  <c r="P158" i="28" s="1"/>
  <c r="H178" i="33"/>
  <c r="AA180" i="32" s="1"/>
  <c r="P183" i="28" s="1"/>
  <c r="Q183" i="28" s="1"/>
  <c r="H207" i="33"/>
  <c r="AA210" i="32" s="1"/>
  <c r="P212" i="28" s="1"/>
  <c r="Q212" i="28" s="1"/>
  <c r="I120" i="33"/>
  <c r="O120" i="33" s="1"/>
  <c r="AA122" i="32"/>
  <c r="P125" i="28" s="1"/>
  <c r="Q125" i="28" s="1"/>
  <c r="I255" i="33"/>
  <c r="N255" i="33" s="1"/>
  <c r="AA258" i="32"/>
  <c r="P260" i="28" s="1"/>
  <c r="Q260" i="28" s="1"/>
  <c r="G6" i="33"/>
  <c r="H6" i="33" s="1"/>
  <c r="AA9" i="32" s="1"/>
  <c r="P11" i="28" s="1"/>
  <c r="Q11" i="28" s="1"/>
  <c r="I11" i="33"/>
  <c r="O11" i="33" s="1"/>
  <c r="G103" i="33"/>
  <c r="H103" i="33" s="1"/>
  <c r="AA105" i="32" s="1"/>
  <c r="P108" i="28" s="1"/>
  <c r="Q108" i="28" s="1"/>
  <c r="G115" i="33"/>
  <c r="Q178" i="28"/>
  <c r="G211" i="33"/>
  <c r="G279" i="33"/>
  <c r="H279" i="33" s="1"/>
  <c r="AA282" i="32" s="1"/>
  <c r="P284" i="28" s="1"/>
  <c r="Q284" i="28" s="1"/>
  <c r="G301" i="33"/>
  <c r="H301" i="33" s="1"/>
  <c r="AA308" i="32" s="1"/>
  <c r="P306" i="28" s="1"/>
  <c r="Q306" i="28" s="1"/>
  <c r="G12" i="33"/>
  <c r="G17" i="33"/>
  <c r="G34" i="33"/>
  <c r="I78" i="33"/>
  <c r="O78" i="33" s="1"/>
  <c r="G88" i="33"/>
  <c r="H88" i="33" s="1"/>
  <c r="AA90" i="32" s="1"/>
  <c r="P93" i="28" s="1"/>
  <c r="Q93" i="28" s="1"/>
  <c r="G274" i="33"/>
  <c r="H274" i="33" s="1"/>
  <c r="AA277" i="32" s="1"/>
  <c r="P279" i="28" s="1"/>
  <c r="Q279" i="28" s="1"/>
  <c r="Q236" i="28"/>
  <c r="G275" i="33"/>
  <c r="Q52" i="28"/>
  <c r="G165" i="33"/>
  <c r="H165" i="33" s="1"/>
  <c r="G30" i="33"/>
  <c r="G123" i="33"/>
  <c r="G259" i="33"/>
  <c r="I90" i="33"/>
  <c r="G271" i="33"/>
  <c r="H271" i="33" s="1"/>
  <c r="AA274" i="32" s="1"/>
  <c r="P276" i="28" s="1"/>
  <c r="Q276" i="28" s="1"/>
  <c r="G20" i="33"/>
  <c r="G107" i="33"/>
  <c r="H107" i="33" s="1"/>
  <c r="AA109" i="32" s="1"/>
  <c r="P112" i="28" s="1"/>
  <c r="Q112" i="28" s="1"/>
  <c r="G124" i="33"/>
  <c r="H124" i="33" s="1"/>
  <c r="AA126" i="32" s="1"/>
  <c r="P129" i="28" s="1"/>
  <c r="Q129" i="28" s="1"/>
  <c r="G260" i="33"/>
  <c r="H260" i="33" s="1"/>
  <c r="AA263" i="32" s="1"/>
  <c r="P265" i="28" s="1"/>
  <c r="Q265" i="28" s="1"/>
  <c r="G283" i="33"/>
  <c r="H283" i="33" s="1"/>
  <c r="AA286" i="32" s="1"/>
  <c r="P288" i="28" s="1"/>
  <c r="G299" i="33"/>
  <c r="H299" i="33" s="1"/>
  <c r="AA302" i="32" s="1"/>
  <c r="P304" i="28" s="1"/>
  <c r="Q304" i="28" s="1"/>
  <c r="Q176" i="28"/>
  <c r="G70" i="33"/>
  <c r="H70" i="33" s="1"/>
  <c r="AA72" i="32" s="1"/>
  <c r="P75" i="28" s="1"/>
  <c r="Q75" i="28" s="1"/>
  <c r="Q83" i="28"/>
  <c r="Q85" i="28"/>
  <c r="Q95" i="28"/>
  <c r="G222" i="33"/>
  <c r="G300" i="33"/>
  <c r="Q150" i="28"/>
  <c r="H56" i="33"/>
  <c r="AA58" i="32" s="1"/>
  <c r="P61" i="28" s="1"/>
  <c r="Q61" i="28" s="1"/>
  <c r="I168" i="33"/>
  <c r="M168" i="33" s="1"/>
  <c r="AA170" i="32"/>
  <c r="P173" i="28" s="1"/>
  <c r="Q173" i="28" s="1"/>
  <c r="H46" i="33"/>
  <c r="AA48" i="32" s="1"/>
  <c r="P51" i="28" s="1"/>
  <c r="Q51" i="28" s="1"/>
  <c r="H229" i="33"/>
  <c r="AA232" i="32" s="1"/>
  <c r="P234" i="28" s="1"/>
  <c r="Q234" i="28" s="1"/>
  <c r="I252" i="33"/>
  <c r="L252" i="33" s="1"/>
  <c r="AA255" i="32"/>
  <c r="P257" i="28" s="1"/>
  <c r="Q257" i="28" s="1"/>
  <c r="H272" i="33"/>
  <c r="AA275" i="32" s="1"/>
  <c r="P277" i="28" s="1"/>
  <c r="Q277" i="28" s="1"/>
  <c r="H278" i="33"/>
  <c r="AA281" i="32" s="1"/>
  <c r="P283" i="28" s="1"/>
  <c r="Q283" i="28" s="1"/>
  <c r="H28" i="33"/>
  <c r="AA30" i="32" s="1"/>
  <c r="P33" i="28" s="1"/>
  <c r="Q33" i="28" s="1"/>
  <c r="I72" i="33"/>
  <c r="AA74" i="32"/>
  <c r="P77" i="28" s="1"/>
  <c r="Q77" i="28" s="1"/>
  <c r="H104" i="33"/>
  <c r="AA106" i="32" s="1"/>
  <c r="P109" i="28" s="1"/>
  <c r="Q109" i="28" s="1"/>
  <c r="H302" i="33"/>
  <c r="AA304" i="32" s="1"/>
  <c r="P307" i="28" s="1"/>
  <c r="Q307" i="28" s="1"/>
  <c r="I52" i="33"/>
  <c r="O52" i="33" s="1"/>
  <c r="AA54" i="32"/>
  <c r="P57" i="28" s="1"/>
  <c r="Q57" i="28" s="1"/>
  <c r="I132" i="33"/>
  <c r="O132" i="33" s="1"/>
  <c r="AA134" i="32"/>
  <c r="P137" i="28" s="1"/>
  <c r="Q137" i="28" s="1"/>
  <c r="H190" i="33"/>
  <c r="AA192" i="32" s="1"/>
  <c r="P195" i="28" s="1"/>
  <c r="Q195" i="28" s="1"/>
  <c r="I44" i="33"/>
  <c r="O44" i="33" s="1"/>
  <c r="AA46" i="32"/>
  <c r="P49" i="28" s="1"/>
  <c r="Q49" i="28" s="1"/>
  <c r="I196" i="33"/>
  <c r="M196" i="33" s="1"/>
  <c r="I219" i="33"/>
  <c r="N219" i="33" s="1"/>
  <c r="AA222" i="32"/>
  <c r="P224" i="28" s="1"/>
  <c r="Q224" i="28" s="1"/>
  <c r="M83" i="33"/>
  <c r="L83" i="33"/>
  <c r="C85" i="32" s="1"/>
  <c r="Q88" i="29" s="1"/>
  <c r="C88" i="29" s="1"/>
  <c r="H106" i="33"/>
  <c r="AA108" i="32" s="1"/>
  <c r="P110" i="28" s="1"/>
  <c r="Q110" i="28" s="1"/>
  <c r="I243" i="33"/>
  <c r="AA246" i="32"/>
  <c r="P248" i="28" s="1"/>
  <c r="Q248" i="28" s="1"/>
  <c r="H249" i="33"/>
  <c r="AA252" i="32" s="1"/>
  <c r="P254" i="28" s="1"/>
  <c r="Q254" i="28" s="1"/>
  <c r="H141" i="33"/>
  <c r="AA144" i="32" s="1"/>
  <c r="P146" i="28" s="1"/>
  <c r="Q146" i="28" s="1"/>
  <c r="I59" i="33"/>
  <c r="L59" i="33" s="1"/>
  <c r="C61" i="32" s="1"/>
  <c r="AA61" i="32"/>
  <c r="P64" i="28" s="1"/>
  <c r="Q64" i="28" s="1"/>
  <c r="H71" i="33"/>
  <c r="AA73" i="32" s="1"/>
  <c r="P76" i="28" s="1"/>
  <c r="Q76" i="28" s="1"/>
  <c r="H92" i="33"/>
  <c r="AA94" i="32" s="1"/>
  <c r="P97" i="28" s="1"/>
  <c r="Q97" i="28" s="1"/>
  <c r="H131" i="33"/>
  <c r="AA133" i="32" s="1"/>
  <c r="P136" i="28" s="1"/>
  <c r="Q136" i="28" s="1"/>
  <c r="Q167" i="28"/>
  <c r="C317" i="30"/>
  <c r="I47" i="33"/>
  <c r="M47" i="33" s="1"/>
  <c r="G84" i="33"/>
  <c r="G114" i="33"/>
  <c r="H114" i="33" s="1"/>
  <c r="AA116" i="32" s="1"/>
  <c r="P119" i="28" s="1"/>
  <c r="Q119" i="28" s="1"/>
  <c r="G127" i="33"/>
  <c r="H127" i="33" s="1"/>
  <c r="AA129" i="32" s="1"/>
  <c r="P132" i="28" s="1"/>
  <c r="Q132" i="28" s="1"/>
  <c r="G138" i="33"/>
  <c r="G142" i="33"/>
  <c r="H142" i="33" s="1"/>
  <c r="AA145" i="32" s="1"/>
  <c r="P147" i="28" s="1"/>
  <c r="Q147" i="28" s="1"/>
  <c r="G169" i="33"/>
  <c r="H169" i="33" s="1"/>
  <c r="AA171" i="32" s="1"/>
  <c r="P174" i="28" s="1"/>
  <c r="Q174" i="28" s="1"/>
  <c r="G181" i="33"/>
  <c r="Q16" i="28"/>
  <c r="Q202" i="28"/>
  <c r="D317" i="30"/>
  <c r="AA85" i="32"/>
  <c r="P88" i="28" s="1"/>
  <c r="Q88" i="28" s="1"/>
  <c r="AA293" i="32"/>
  <c r="P295" i="28" s="1"/>
  <c r="Q295" i="28" s="1"/>
  <c r="I41" i="33"/>
  <c r="N41" i="33" s="1"/>
  <c r="G73" i="33"/>
  <c r="G87" i="33"/>
  <c r="H87" i="33" s="1"/>
  <c r="AA89" i="32" s="1"/>
  <c r="P92" i="28" s="1"/>
  <c r="Q92" i="28" s="1"/>
  <c r="G96" i="33"/>
  <c r="G99" i="33"/>
  <c r="H99" i="33" s="1"/>
  <c r="AA101" i="32" s="1"/>
  <c r="P104" i="28" s="1"/>
  <c r="Q104" i="28" s="1"/>
  <c r="G119" i="33"/>
  <c r="H119" i="33" s="1"/>
  <c r="AA121" i="32" s="1"/>
  <c r="P124" i="28" s="1"/>
  <c r="Q124" i="28" s="1"/>
  <c r="G134" i="33"/>
  <c r="G206" i="33"/>
  <c r="H206" i="33" s="1"/>
  <c r="G210" i="33"/>
  <c r="H210" i="33" s="1"/>
  <c r="AA213" i="32" s="1"/>
  <c r="P215" i="28" s="1"/>
  <c r="Q215" i="28" s="1"/>
  <c r="G220" i="33"/>
  <c r="H220" i="33" s="1"/>
  <c r="G244" i="33"/>
  <c r="G264" i="33"/>
  <c r="G288" i="33"/>
  <c r="G293" i="33"/>
  <c r="G298" i="33"/>
  <c r="H298" i="33" s="1"/>
  <c r="AA301" i="32" s="1"/>
  <c r="P303" i="28" s="1"/>
  <c r="Q303" i="28" s="1"/>
  <c r="G307" i="33"/>
  <c r="H307" i="33" s="1"/>
  <c r="Q199" i="28"/>
  <c r="D317" i="31"/>
  <c r="G16" i="33"/>
  <c r="H16" i="33" s="1"/>
  <c r="AA18" i="32" s="1"/>
  <c r="P21" i="28" s="1"/>
  <c r="Q21" i="28" s="1"/>
  <c r="G79" i="33"/>
  <c r="H79" i="33" s="1"/>
  <c r="AA81" i="32" s="1"/>
  <c r="P84" i="28" s="1"/>
  <c r="Q84" i="28" s="1"/>
  <c r="G116" i="33"/>
  <c r="H116" i="33" s="1"/>
  <c r="AA118" i="32" s="1"/>
  <c r="P121" i="28" s="1"/>
  <c r="Q121" i="28" s="1"/>
  <c r="G140" i="33"/>
  <c r="G235" i="33"/>
  <c r="H235" i="33" s="1"/>
  <c r="AA238" i="32" s="1"/>
  <c r="P240" i="28" s="1"/>
  <c r="Q240" i="28" s="1"/>
  <c r="G250" i="33"/>
  <c r="G303" i="33"/>
  <c r="H303" i="33" s="1"/>
  <c r="AA305" i="32" s="1"/>
  <c r="P308" i="28" s="1"/>
  <c r="Q308" i="28" s="1"/>
  <c r="AG314" i="32"/>
  <c r="I21" i="33"/>
  <c r="N21" i="33" s="1"/>
  <c r="G101" i="33"/>
  <c r="H101" i="33" s="1"/>
  <c r="AA103" i="32" s="1"/>
  <c r="P106" i="28" s="1"/>
  <c r="Q106" i="28" s="1"/>
  <c r="G121" i="33"/>
  <c r="H129" i="33"/>
  <c r="AA131" i="32" s="1"/>
  <c r="P134" i="28" s="1"/>
  <c r="Q134" i="28" s="1"/>
  <c r="I231" i="33"/>
  <c r="O231" i="33" s="1"/>
  <c r="G251" i="33"/>
  <c r="H251" i="33" s="1"/>
  <c r="AA254" i="32" s="1"/>
  <c r="P256" i="28" s="1"/>
  <c r="Q256" i="28" s="1"/>
  <c r="G266" i="33"/>
  <c r="H266" i="33" s="1"/>
  <c r="AA269" i="32" s="1"/>
  <c r="P271" i="28" s="1"/>
  <c r="Q271" i="28" s="1"/>
  <c r="G276" i="33"/>
  <c r="G295" i="33"/>
  <c r="H295" i="33" s="1"/>
  <c r="AA298" i="32" s="1"/>
  <c r="P300" i="28" s="1"/>
  <c r="Q300" i="28" s="1"/>
  <c r="Q113" i="28"/>
  <c r="Q158" i="28"/>
  <c r="G26" i="33"/>
  <c r="H26" i="33" s="1"/>
  <c r="AA28" i="32" s="1"/>
  <c r="P31" i="28" s="1"/>
  <c r="Q31" i="28" s="1"/>
  <c r="G43" i="33"/>
  <c r="H43" i="33" s="1"/>
  <c r="AA45" i="32" s="1"/>
  <c r="P48" i="28" s="1"/>
  <c r="Q48" i="28" s="1"/>
  <c r="G69" i="33"/>
  <c r="H69" i="33" s="1"/>
  <c r="I80" i="33"/>
  <c r="N80" i="33" s="1"/>
  <c r="G85" i="33"/>
  <c r="I108" i="33"/>
  <c r="G112" i="33"/>
  <c r="H112" i="33" s="1"/>
  <c r="AA114" i="32" s="1"/>
  <c r="P117" i="28" s="1"/>
  <c r="Q117" i="28" s="1"/>
  <c r="H117" i="33"/>
  <c r="AA119" i="32" s="1"/>
  <c r="P122" i="28" s="1"/>
  <c r="Q122" i="28" s="1"/>
  <c r="G130" i="33"/>
  <c r="H130" i="33" s="1"/>
  <c r="AA132" i="32" s="1"/>
  <c r="P135" i="28" s="1"/>
  <c r="Q135" i="28" s="1"/>
  <c r="G136" i="33"/>
  <c r="G163" i="33"/>
  <c r="G184" i="33"/>
  <c r="H184" i="33" s="1"/>
  <c r="G208" i="33"/>
  <c r="G237" i="33"/>
  <c r="H237" i="33" s="1"/>
  <c r="AA240" i="32" s="1"/>
  <c r="P242" i="28" s="1"/>
  <c r="Q242" i="28" s="1"/>
  <c r="G247" i="33"/>
  <c r="G256" i="33"/>
  <c r="H256" i="33" s="1"/>
  <c r="G277" i="33"/>
  <c r="G296" i="33"/>
  <c r="G305" i="33"/>
  <c r="H305" i="33" s="1"/>
  <c r="AA307" i="32" s="1"/>
  <c r="P310" i="28" s="1"/>
  <c r="Q310" i="28" s="1"/>
  <c r="G9" i="33"/>
  <c r="H9" i="33" s="1"/>
  <c r="G22" i="33"/>
  <c r="G58" i="33"/>
  <c r="H58" i="33" s="1"/>
  <c r="AA60" i="32" s="1"/>
  <c r="P63" i="28" s="1"/>
  <c r="Q63" i="28" s="1"/>
  <c r="G97" i="33"/>
  <c r="H97" i="33" s="1"/>
  <c r="AA99" i="32" s="1"/>
  <c r="P102" i="28" s="1"/>
  <c r="Q102" i="28" s="1"/>
  <c r="G172" i="33"/>
  <c r="G180" i="33"/>
  <c r="H180" i="33" s="1"/>
  <c r="AA182" i="32" s="1"/>
  <c r="P185" i="28" s="1"/>
  <c r="Q185" i="28" s="1"/>
  <c r="G204" i="33"/>
  <c r="H204" i="33" s="1"/>
  <c r="AA206" i="32" s="1"/>
  <c r="P209" i="28" s="1"/>
  <c r="Q209" i="28" s="1"/>
  <c r="G281" i="33"/>
  <c r="H281" i="33" s="1"/>
  <c r="AA284" i="32" s="1"/>
  <c r="P286" i="28" s="1"/>
  <c r="Q286" i="28" s="1"/>
  <c r="G286" i="33"/>
  <c r="G291" i="33"/>
  <c r="Q288" i="28"/>
  <c r="I133" i="33"/>
  <c r="O133" i="33" s="1"/>
  <c r="G23" i="33"/>
  <c r="G61" i="33"/>
  <c r="H61" i="33" s="1"/>
  <c r="AA63" i="32" s="1"/>
  <c r="P66" i="28" s="1"/>
  <c r="Q66" i="28" s="1"/>
  <c r="G86" i="33"/>
  <c r="H86" i="33" s="1"/>
  <c r="I122" i="33"/>
  <c r="G146" i="33"/>
  <c r="I209" i="33"/>
  <c r="L209" i="33" s="1"/>
  <c r="C212" i="32" s="1"/>
  <c r="G215" i="33"/>
  <c r="G253" i="33"/>
  <c r="G263" i="33"/>
  <c r="H263" i="33" s="1"/>
  <c r="G287" i="33"/>
  <c r="H287" i="33" s="1"/>
  <c r="AA290" i="32" s="1"/>
  <c r="P292" i="28" s="1"/>
  <c r="Q292" i="28" s="1"/>
  <c r="C331" i="28"/>
  <c r="E331" i="28"/>
  <c r="Q278" i="28"/>
  <c r="D331" i="28"/>
  <c r="AF8" i="32"/>
  <c r="F331" i="28"/>
  <c r="J331" i="28"/>
  <c r="K331" i="28"/>
  <c r="O331" i="28"/>
  <c r="E317" i="30"/>
  <c r="C317" i="31"/>
  <c r="E317" i="31"/>
  <c r="H20" i="33"/>
  <c r="AA22" i="32" s="1"/>
  <c r="P25" i="28" s="1"/>
  <c r="Q25" i="28" s="1"/>
  <c r="H51" i="33"/>
  <c r="AA53" i="32" s="1"/>
  <c r="P56" i="28" s="1"/>
  <c r="Q56" i="28" s="1"/>
  <c r="H66" i="33"/>
  <c r="AA68" i="32" s="1"/>
  <c r="P71" i="28" s="1"/>
  <c r="Q71" i="28" s="1"/>
  <c r="G91" i="33"/>
  <c r="H240" i="33"/>
  <c r="AA243" i="32" s="1"/>
  <c r="P245" i="28" s="1"/>
  <c r="Q245" i="28" s="1"/>
  <c r="I8" i="33"/>
  <c r="M52" i="33"/>
  <c r="O59" i="33"/>
  <c r="N59" i="33"/>
  <c r="M59" i="33"/>
  <c r="H10" i="33"/>
  <c r="AA13" i="32" s="1"/>
  <c r="P15" i="28" s="1"/>
  <c r="Q15" i="28" s="1"/>
  <c r="H32" i="33"/>
  <c r="AA34" i="32" s="1"/>
  <c r="P37" i="28" s="1"/>
  <c r="Q37" i="28" s="1"/>
  <c r="H93" i="33"/>
  <c r="AA95" i="32" s="1"/>
  <c r="P98" i="28" s="1"/>
  <c r="Q98" i="28" s="1"/>
  <c r="H151" i="33"/>
  <c r="AA154" i="32" s="1"/>
  <c r="P156" i="28" s="1"/>
  <c r="Q156" i="28" s="1"/>
  <c r="H15" i="33"/>
  <c r="AA17" i="32" s="1"/>
  <c r="P20" i="28" s="1"/>
  <c r="Q20" i="28" s="1"/>
  <c r="G24" i="33"/>
  <c r="O47" i="33"/>
  <c r="N47" i="33"/>
  <c r="G76" i="33"/>
  <c r="G203" i="33"/>
  <c r="H226" i="33"/>
  <c r="AA229" i="32" s="1"/>
  <c r="P231" i="28" s="1"/>
  <c r="Q231" i="28" s="1"/>
  <c r="I308" i="33"/>
  <c r="H308" i="33"/>
  <c r="AA311" i="32" s="1"/>
  <c r="P313" i="28" s="1"/>
  <c r="Q313" i="28" s="1"/>
  <c r="G36" i="33"/>
  <c r="L47" i="33"/>
  <c r="C49" i="32" s="1"/>
  <c r="H138" i="33"/>
  <c r="AA141" i="32" s="1"/>
  <c r="P143" i="28" s="1"/>
  <c r="Q143" i="28" s="1"/>
  <c r="H259" i="33"/>
  <c r="AA262" i="32" s="1"/>
  <c r="P264" i="28" s="1"/>
  <c r="Q264" i="28" s="1"/>
  <c r="H18" i="33"/>
  <c r="AA20" i="32" s="1"/>
  <c r="P23" i="28" s="1"/>
  <c r="Q23" i="28" s="1"/>
  <c r="H50" i="33"/>
  <c r="AA52" i="32" s="1"/>
  <c r="P55" i="28" s="1"/>
  <c r="Q55" i="28" s="1"/>
  <c r="G160" i="33"/>
  <c r="H213" i="33"/>
  <c r="AA216" i="32" s="1"/>
  <c r="P218" i="28" s="1"/>
  <c r="Q218" i="28" s="1"/>
  <c r="O290" i="33"/>
  <c r="N290" i="33"/>
  <c r="M290" i="33"/>
  <c r="L290" i="33"/>
  <c r="C293" i="32" s="1"/>
  <c r="I57" i="33"/>
  <c r="H64" i="33"/>
  <c r="AA66" i="32" s="1"/>
  <c r="P69" i="28" s="1"/>
  <c r="Q69" i="28" s="1"/>
  <c r="O83" i="33"/>
  <c r="N83" i="33"/>
  <c r="H218" i="33"/>
  <c r="AA221" i="32" s="1"/>
  <c r="P223" i="28" s="1"/>
  <c r="Q223" i="28" s="1"/>
  <c r="H265" i="33"/>
  <c r="AA268" i="32" s="1"/>
  <c r="P270" i="28" s="1"/>
  <c r="Q270" i="28" s="1"/>
  <c r="I273" i="33"/>
  <c r="C321" i="33"/>
  <c r="H7" i="33"/>
  <c r="AA10" i="32" s="1"/>
  <c r="P12" i="28" s="1"/>
  <c r="Q12" i="28" s="1"/>
  <c r="H13" i="33"/>
  <c r="AA137" i="32" s="1"/>
  <c r="P18" i="28" s="1"/>
  <c r="Q18" i="28" s="1"/>
  <c r="H25" i="33"/>
  <c r="AA27" i="32" s="1"/>
  <c r="P30" i="28" s="1"/>
  <c r="Q30" i="28" s="1"/>
  <c r="H154" i="33"/>
  <c r="AA156" i="32" s="1"/>
  <c r="P159" i="28" s="1"/>
  <c r="Q159" i="28" s="1"/>
  <c r="O255" i="33"/>
  <c r="L255" i="33"/>
  <c r="C258" i="32" s="1"/>
  <c r="Q260" i="29" s="1"/>
  <c r="C260" i="29" s="1"/>
  <c r="M255" i="33"/>
  <c r="E321" i="33"/>
  <c r="H81" i="33"/>
  <c r="AA83" i="32" s="1"/>
  <c r="P86" i="28" s="1"/>
  <c r="Q86" i="28" s="1"/>
  <c r="G89" i="33"/>
  <c r="H143" i="33"/>
  <c r="AA146" i="32" s="1"/>
  <c r="P148" i="28" s="1"/>
  <c r="Q148" i="28" s="1"/>
  <c r="G192" i="33"/>
  <c r="H282" i="33"/>
  <c r="AA285" i="32" s="1"/>
  <c r="P287" i="28" s="1"/>
  <c r="Q287" i="28" s="1"/>
  <c r="G5" i="33"/>
  <c r="H33" i="33"/>
  <c r="AA35" i="32" s="1"/>
  <c r="P38" i="28" s="1"/>
  <c r="Q38" i="28" s="1"/>
  <c r="G37" i="33"/>
  <c r="G53" i="33"/>
  <c r="I171" i="33"/>
  <c r="AD319" i="32"/>
  <c r="L321" i="28" s="1"/>
  <c r="M321" i="28" s="1"/>
  <c r="AC319" i="32"/>
  <c r="L44" i="33"/>
  <c r="H95" i="33"/>
  <c r="AA97" i="32" s="1"/>
  <c r="P100" i="28" s="1"/>
  <c r="Q100" i="28" s="1"/>
  <c r="H183" i="33"/>
  <c r="AA185" i="32" s="1"/>
  <c r="P188" i="28" s="1"/>
  <c r="Q188" i="28" s="1"/>
  <c r="H262" i="33"/>
  <c r="AA265" i="32" s="1"/>
  <c r="P267" i="28" s="1"/>
  <c r="Q267" i="28" s="1"/>
  <c r="AD316" i="32"/>
  <c r="L318" i="28" s="1"/>
  <c r="M318" i="28" s="1"/>
  <c r="AC316" i="32"/>
  <c r="H14" i="33"/>
  <c r="AA16" i="32" s="1"/>
  <c r="P19" i="28" s="1"/>
  <c r="Q19" i="28" s="1"/>
  <c r="G31" i="33"/>
  <c r="H42" i="33"/>
  <c r="AA44" i="32" s="1"/>
  <c r="P47" i="28" s="1"/>
  <c r="Q47" i="28" s="1"/>
  <c r="M44" i="33"/>
  <c r="H105" i="33"/>
  <c r="AA107" i="32" s="1"/>
  <c r="P111" i="28" s="1"/>
  <c r="Q111" i="28" s="1"/>
  <c r="H126" i="33"/>
  <c r="AA128" i="32" s="1"/>
  <c r="P131" i="28" s="1"/>
  <c r="Q131" i="28" s="1"/>
  <c r="H49" i="33"/>
  <c r="AA51" i="32" s="1"/>
  <c r="P54" i="28" s="1"/>
  <c r="Q54" i="28" s="1"/>
  <c r="G148" i="33"/>
  <c r="H239" i="33"/>
  <c r="AA242" i="32" s="1"/>
  <c r="P244" i="28" s="1"/>
  <c r="Q244" i="28" s="1"/>
  <c r="H82" i="33"/>
  <c r="AA84" i="32" s="1"/>
  <c r="P87" i="28" s="1"/>
  <c r="Q87" i="28" s="1"/>
  <c r="H202" i="33"/>
  <c r="AA208" i="32" s="1"/>
  <c r="P207" i="28" s="1"/>
  <c r="Q207" i="28" s="1"/>
  <c r="H230" i="33"/>
  <c r="AA233" i="32" s="1"/>
  <c r="P235" i="28" s="1"/>
  <c r="Q235" i="28" s="1"/>
  <c r="H98" i="33"/>
  <c r="AA100" i="32" s="1"/>
  <c r="P103" i="28" s="1"/>
  <c r="Q103" i="28" s="1"/>
  <c r="H113" i="33"/>
  <c r="AA115" i="32" s="1"/>
  <c r="P118" i="28" s="1"/>
  <c r="Q118" i="28" s="1"/>
  <c r="G214" i="33"/>
  <c r="AD320" i="32"/>
  <c r="L322" i="28" s="1"/>
  <c r="M322" i="28" s="1"/>
  <c r="AC320" i="32"/>
  <c r="H17" i="33"/>
  <c r="AA19" i="32" s="1"/>
  <c r="P22" i="28" s="1"/>
  <c r="Q22" i="28" s="1"/>
  <c r="H19" i="33"/>
  <c r="AA21" i="32" s="1"/>
  <c r="P24" i="28" s="1"/>
  <c r="Q24" i="28" s="1"/>
  <c r="H30" i="33"/>
  <c r="AA32" i="32" s="1"/>
  <c r="P35" i="28" s="1"/>
  <c r="Q35" i="28" s="1"/>
  <c r="H94" i="33"/>
  <c r="AA96" i="32" s="1"/>
  <c r="P99" i="28" s="1"/>
  <c r="Q99" i="28" s="1"/>
  <c r="H38" i="33"/>
  <c r="AA40" i="32" s="1"/>
  <c r="P43" i="28" s="1"/>
  <c r="Q43" i="28" s="1"/>
  <c r="G62" i="33"/>
  <c r="G74" i="33"/>
  <c r="G110" i="33"/>
  <c r="H139" i="33"/>
  <c r="AA142" i="32" s="1"/>
  <c r="P144" i="28" s="1"/>
  <c r="Q144" i="28" s="1"/>
  <c r="O196" i="33"/>
  <c r="G27" i="33"/>
  <c r="G35" i="33"/>
  <c r="G48" i="33"/>
  <c r="G77" i="33"/>
  <c r="H149" i="33"/>
  <c r="AA152" i="32" s="1"/>
  <c r="P154" i="28" s="1"/>
  <c r="Q154" i="28" s="1"/>
  <c r="H182" i="33"/>
  <c r="AA184" i="32" s="1"/>
  <c r="P187" i="28" s="1"/>
  <c r="Q187" i="28" s="1"/>
  <c r="H242" i="33"/>
  <c r="AA245" i="32" s="1"/>
  <c r="P247" i="28" s="1"/>
  <c r="Q247" i="28" s="1"/>
  <c r="N267" i="33"/>
  <c r="M267" i="33"/>
  <c r="L267" i="33"/>
  <c r="C270" i="32" s="1"/>
  <c r="Q272" i="29" s="1"/>
  <c r="C272" i="29" s="1"/>
  <c r="O267" i="33"/>
  <c r="AD314" i="32"/>
  <c r="L316" i="28" s="1"/>
  <c r="M316" i="28" s="1"/>
  <c r="X316" i="29" s="1"/>
  <c r="H55" i="33"/>
  <c r="AA57" i="32" s="1"/>
  <c r="P60" i="28" s="1"/>
  <c r="Q60" i="28" s="1"/>
  <c r="H67" i="33"/>
  <c r="AA69" i="32" s="1"/>
  <c r="P72" i="28" s="1"/>
  <c r="Q72" i="28" s="1"/>
  <c r="H125" i="33"/>
  <c r="AA127" i="32" s="1"/>
  <c r="P130" i="28" s="1"/>
  <c r="Q130" i="28" s="1"/>
  <c r="H65" i="33"/>
  <c r="AA67" i="32" s="1"/>
  <c r="P70" i="28" s="1"/>
  <c r="Q70" i="28" s="1"/>
  <c r="O90" i="33"/>
  <c r="N90" i="33"/>
  <c r="M90" i="33"/>
  <c r="L90" i="33"/>
  <c r="H102" i="33"/>
  <c r="AA104" i="32" s="1"/>
  <c r="P107" i="28" s="1"/>
  <c r="Q107" i="28" s="1"/>
  <c r="H155" i="33"/>
  <c r="AA157" i="32" s="1"/>
  <c r="P160" i="28" s="1"/>
  <c r="Q160" i="28" s="1"/>
  <c r="H164" i="33"/>
  <c r="AA166" i="32" s="1"/>
  <c r="P169" i="28" s="1"/>
  <c r="Q169" i="28" s="1"/>
  <c r="H170" i="33"/>
  <c r="AA172" i="32" s="1"/>
  <c r="P175" i="28" s="1"/>
  <c r="Q175" i="28" s="1"/>
  <c r="G179" i="33"/>
  <c r="G217" i="33"/>
  <c r="H75" i="33"/>
  <c r="AA77" i="32" s="1"/>
  <c r="P80" i="28" s="1"/>
  <c r="Q80" i="28" s="1"/>
  <c r="G111" i="33"/>
  <c r="H205" i="33"/>
  <c r="AA207" i="32" s="1"/>
  <c r="P210" i="28" s="1"/>
  <c r="Q210" i="28" s="1"/>
  <c r="H109" i="33"/>
  <c r="AA111" i="32" s="1"/>
  <c r="P114" i="28" s="1"/>
  <c r="Q114" i="28" s="1"/>
  <c r="H12" i="33"/>
  <c r="AA15" i="32" s="1"/>
  <c r="P17" i="28" s="1"/>
  <c r="Q17" i="28" s="1"/>
  <c r="H100" i="33"/>
  <c r="AA102" i="32" s="1"/>
  <c r="P105" i="28" s="1"/>
  <c r="Q105" i="28" s="1"/>
  <c r="I145" i="33"/>
  <c r="H150" i="33"/>
  <c r="AA153" i="32" s="1"/>
  <c r="P155" i="28" s="1"/>
  <c r="Q155" i="28" s="1"/>
  <c r="H158" i="33"/>
  <c r="AA160" i="32" s="1"/>
  <c r="P163" i="28" s="1"/>
  <c r="Q163" i="28" s="1"/>
  <c r="H175" i="33"/>
  <c r="AA177" i="32" s="1"/>
  <c r="P180" i="28" s="1"/>
  <c r="Q180" i="28" s="1"/>
  <c r="H211" i="33"/>
  <c r="AA214" i="32" s="1"/>
  <c r="P216" i="28" s="1"/>
  <c r="Q216" i="28" s="1"/>
  <c r="H137" i="33"/>
  <c r="AA140" i="32" s="1"/>
  <c r="P142" i="28" s="1"/>
  <c r="Q142" i="28" s="1"/>
  <c r="H236" i="33"/>
  <c r="AA239" i="32" s="1"/>
  <c r="P241" i="28" s="1"/>
  <c r="Q241" i="28" s="1"/>
  <c r="G248" i="33"/>
  <c r="H159" i="33"/>
  <c r="AA161" i="32" s="1"/>
  <c r="P164" i="28" s="1"/>
  <c r="Q164" i="28" s="1"/>
  <c r="G118" i="33"/>
  <c r="G135" i="33"/>
  <c r="G166" i="33"/>
  <c r="G191" i="33"/>
  <c r="I194" i="33"/>
  <c r="H200" i="33"/>
  <c r="AA203" i="32" s="1"/>
  <c r="P205" i="28" s="1"/>
  <c r="Q205" i="28" s="1"/>
  <c r="G152" i="33"/>
  <c r="G157" i="33"/>
  <c r="G167" i="33"/>
  <c r="H176" i="33"/>
  <c r="AA178" i="32" s="1"/>
  <c r="P181" i="28" s="1"/>
  <c r="Q181" i="28" s="1"/>
  <c r="H250" i="33"/>
  <c r="AA253" i="32" s="1"/>
  <c r="P255" i="28" s="1"/>
  <c r="Q255" i="28" s="1"/>
  <c r="H264" i="33"/>
  <c r="AA267" i="32" s="1"/>
  <c r="P269" i="28" s="1"/>
  <c r="Q269" i="28" s="1"/>
  <c r="L122" i="33"/>
  <c r="H144" i="33"/>
  <c r="AA147" i="32" s="1"/>
  <c r="P149" i="28" s="1"/>
  <c r="Q149" i="28" s="1"/>
  <c r="G147" i="33"/>
  <c r="I161" i="33"/>
  <c r="H195" i="33"/>
  <c r="AA198" i="32" s="1"/>
  <c r="P200" i="28" s="1"/>
  <c r="Q200" i="28" s="1"/>
  <c r="G225" i="33"/>
  <c r="H188" i="33"/>
  <c r="AA190" i="32" s="1"/>
  <c r="P193" i="28" s="1"/>
  <c r="Q193" i="28" s="1"/>
  <c r="H222" i="33"/>
  <c r="AA225" i="32" s="1"/>
  <c r="P227" i="28" s="1"/>
  <c r="Q227" i="28" s="1"/>
  <c r="H244" i="33"/>
  <c r="AA247" i="32" s="1"/>
  <c r="P249" i="28" s="1"/>
  <c r="Q249" i="28" s="1"/>
  <c r="I254" i="33"/>
  <c r="G174" i="33"/>
  <c r="G177" i="33"/>
  <c r="G186" i="33"/>
  <c r="G189" i="33"/>
  <c r="G198" i="33"/>
  <c r="G201" i="33"/>
  <c r="G216" i="33"/>
  <c r="H223" i="33"/>
  <c r="AA226" i="32" s="1"/>
  <c r="P228" i="28" s="1"/>
  <c r="Q228" i="28" s="1"/>
  <c r="G228" i="33"/>
  <c r="H232" i="33"/>
  <c r="AA235" i="32" s="1"/>
  <c r="P237" i="28" s="1"/>
  <c r="Q237" i="28" s="1"/>
  <c r="H247" i="33"/>
  <c r="AA250" i="32" s="1"/>
  <c r="P252" i="28" s="1"/>
  <c r="Q252" i="28" s="1"/>
  <c r="H238" i="33"/>
  <c r="AA241" i="32" s="1"/>
  <c r="P243" i="28" s="1"/>
  <c r="Q243" i="28" s="1"/>
  <c r="H275" i="33"/>
  <c r="AA278" i="32" s="1"/>
  <c r="P280" i="28" s="1"/>
  <c r="Q280" i="28" s="1"/>
  <c r="I283" i="33"/>
  <c r="G162" i="33"/>
  <c r="G233" i="33"/>
  <c r="H253" i="33"/>
  <c r="AA256" i="32" s="1"/>
  <c r="P258" i="28" s="1"/>
  <c r="Q258" i="28" s="1"/>
  <c r="H288" i="33"/>
  <c r="AA291" i="32" s="1"/>
  <c r="P293" i="28" s="1"/>
  <c r="Q293" i="28" s="1"/>
  <c r="Y17" i="41"/>
  <c r="AA12" i="41"/>
  <c r="AE12" i="41" s="1"/>
  <c r="Z12" i="41"/>
  <c r="Z17" i="41" s="1"/>
  <c r="I173" i="33"/>
  <c r="I185" i="33"/>
  <c r="I197" i="33"/>
  <c r="H224" i="33"/>
  <c r="AA227" i="32" s="1"/>
  <c r="P229" i="28" s="1"/>
  <c r="Q229" i="28" s="1"/>
  <c r="H241" i="33"/>
  <c r="AA244" i="32" s="1"/>
  <c r="P246" i="28" s="1"/>
  <c r="Q246" i="28" s="1"/>
  <c r="O243" i="33"/>
  <c r="N243" i="33"/>
  <c r="M243" i="33"/>
  <c r="L243" i="33"/>
  <c r="C246" i="32" s="1"/>
  <c r="Q248" i="29" s="1"/>
  <c r="C248" i="29" s="1"/>
  <c r="H208" i="33"/>
  <c r="AA211" i="32" s="1"/>
  <c r="P213" i="28" s="1"/>
  <c r="Q213" i="28" s="1"/>
  <c r="H212" i="33"/>
  <c r="AA215" i="32" s="1"/>
  <c r="P217" i="28" s="1"/>
  <c r="Q217" i="28" s="1"/>
  <c r="H276" i="33"/>
  <c r="AA279" i="32" s="1"/>
  <c r="P281" i="28" s="1"/>
  <c r="Q281" i="28" s="1"/>
  <c r="H306" i="33"/>
  <c r="AA309" i="32" s="1"/>
  <c r="P311" i="28" s="1"/>
  <c r="Q311" i="28" s="1"/>
  <c r="H227" i="33"/>
  <c r="AA230" i="32" s="1"/>
  <c r="P232" i="28" s="1"/>
  <c r="Q232" i="28" s="1"/>
  <c r="H234" i="33"/>
  <c r="AA237" i="32" s="1"/>
  <c r="P239" i="28" s="1"/>
  <c r="Q239" i="28" s="1"/>
  <c r="G261" i="33"/>
  <c r="G269" i="33"/>
  <c r="I271" i="33"/>
  <c r="H291" i="33"/>
  <c r="AA294" i="32" s="1"/>
  <c r="P296" i="28" s="1"/>
  <c r="Q296" i="28" s="1"/>
  <c r="H300" i="33"/>
  <c r="AA303" i="32" s="1"/>
  <c r="P305" i="28" s="1"/>
  <c r="Q305" i="28" s="1"/>
  <c r="P314" i="33"/>
  <c r="G317" i="32" s="1"/>
  <c r="G221" i="33"/>
  <c r="G258" i="33"/>
  <c r="H277" i="33"/>
  <c r="AA280" i="32" s="1"/>
  <c r="P282" i="28" s="1"/>
  <c r="Q282" i="28" s="1"/>
  <c r="G292" i="33"/>
  <c r="H297" i="33"/>
  <c r="AA300" i="32" s="1"/>
  <c r="P302" i="28" s="1"/>
  <c r="Q302" i="28" s="1"/>
  <c r="Q312" i="33"/>
  <c r="G280" i="33"/>
  <c r="H285" i="33"/>
  <c r="AA288" i="32" s="1"/>
  <c r="P290" i="28" s="1"/>
  <c r="Q290" i="28" s="1"/>
  <c r="I309" i="33"/>
  <c r="H309" i="33"/>
  <c r="AA312" i="32" s="1"/>
  <c r="P314" i="28" s="1"/>
  <c r="Q314" i="28" s="1"/>
  <c r="H289" i="33"/>
  <c r="AA292" i="32" s="1"/>
  <c r="P294" i="28" s="1"/>
  <c r="Q294" i="28" s="1"/>
  <c r="H293" i="33"/>
  <c r="AA296" i="32" s="1"/>
  <c r="P298" i="28" s="1"/>
  <c r="Q298" i="28" s="1"/>
  <c r="G304" i="33"/>
  <c r="Q317" i="33"/>
  <c r="G246" i="33"/>
  <c r="G257" i="33"/>
  <c r="G268" i="33"/>
  <c r="AE15" i="41"/>
  <c r="AB38" i="41"/>
  <c r="O310" i="33"/>
  <c r="N310" i="33"/>
  <c r="M310" i="33"/>
  <c r="L310" i="33"/>
  <c r="C313" i="32" s="1"/>
  <c r="H270" i="33"/>
  <c r="AA273" i="32" s="1"/>
  <c r="P275" i="28" s="1"/>
  <c r="Q275" i="28" s="1"/>
  <c r="H286" i="33"/>
  <c r="AA289" i="32" s="1"/>
  <c r="P291" i="28" s="1"/>
  <c r="Q291" i="28" s="1"/>
  <c r="H294" i="33"/>
  <c r="AA297" i="32" s="1"/>
  <c r="P299" i="28" s="1"/>
  <c r="Q299" i="28" s="1"/>
  <c r="P312" i="33"/>
  <c r="G315" i="32" s="1"/>
  <c r="U317" i="29" s="1"/>
  <c r="G317" i="29" s="1"/>
  <c r="R31" i="41"/>
  <c r="P319" i="33"/>
  <c r="G322" i="32" s="1"/>
  <c r="T13" i="41"/>
  <c r="AE13" i="41" s="1"/>
  <c r="Y33" i="41"/>
  <c r="AE33" i="41" s="1"/>
  <c r="P318" i="33"/>
  <c r="G321" i="32" s="1"/>
  <c r="U323" i="29" s="1"/>
  <c r="G323" i="29" s="1"/>
  <c r="P315" i="33"/>
  <c r="G318" i="32" s="1"/>
  <c r="U320" i="29" s="1"/>
  <c r="G320" i="29" s="1"/>
  <c r="AA6" i="41"/>
  <c r="Z34" i="41"/>
  <c r="Z38" i="41" s="1"/>
  <c r="Z40" i="41" l="1"/>
  <c r="Z44" i="41" s="1"/>
  <c r="Y38" i="41"/>
  <c r="Y40" i="41" s="1"/>
  <c r="Y44" i="41" s="1"/>
  <c r="N196" i="33"/>
  <c r="I264" i="33"/>
  <c r="O21" i="33"/>
  <c r="M11" i="33"/>
  <c r="L196" i="33"/>
  <c r="C199" i="32" s="1"/>
  <c r="M21" i="33"/>
  <c r="I60" i="33"/>
  <c r="N11" i="33"/>
  <c r="M231" i="33"/>
  <c r="N231" i="33"/>
  <c r="L11" i="33"/>
  <c r="C14" i="32" s="1"/>
  <c r="Q16" i="29" s="1"/>
  <c r="C16" i="29" s="1"/>
  <c r="I6" i="33"/>
  <c r="M156" i="33"/>
  <c r="N156" i="33"/>
  <c r="L231" i="33"/>
  <c r="I180" i="33"/>
  <c r="N180" i="33" s="1"/>
  <c r="L21" i="33"/>
  <c r="C23" i="32" s="1"/>
  <c r="L133" i="33"/>
  <c r="M133" i="33"/>
  <c r="N133" i="33"/>
  <c r="P38" i="41"/>
  <c r="R38" i="41" s="1"/>
  <c r="AE26" i="41"/>
  <c r="O168" i="33"/>
  <c r="I245" i="33"/>
  <c r="I266" i="33"/>
  <c r="L156" i="33"/>
  <c r="C158" i="32" s="1"/>
  <c r="I39" i="33"/>
  <c r="M39" i="33" s="1"/>
  <c r="D41" i="32" s="1"/>
  <c r="R44" i="29" s="1"/>
  <c r="D44" i="29" s="1"/>
  <c r="N44" i="33"/>
  <c r="P44" i="33" s="1"/>
  <c r="G46" i="32" s="1"/>
  <c r="U49" i="29" s="1"/>
  <c r="G49" i="29" s="1"/>
  <c r="I66" i="33"/>
  <c r="H181" i="33"/>
  <c r="AA183" i="32" s="1"/>
  <c r="P186" i="28" s="1"/>
  <c r="Q186" i="28" s="1"/>
  <c r="I149" i="33"/>
  <c r="L52" i="33"/>
  <c r="C54" i="32" s="1"/>
  <c r="L120" i="33"/>
  <c r="C122" i="32" s="1"/>
  <c r="Q125" i="29" s="1"/>
  <c r="C125" i="29" s="1"/>
  <c r="O219" i="33"/>
  <c r="M120" i="33"/>
  <c r="F122" i="32" s="1"/>
  <c r="T125" i="29" s="1"/>
  <c r="F125" i="29" s="1"/>
  <c r="M209" i="33"/>
  <c r="I98" i="33"/>
  <c r="N120" i="33"/>
  <c r="I124" i="33"/>
  <c r="L124" i="33" s="1"/>
  <c r="C126" i="32" s="1"/>
  <c r="N209" i="33"/>
  <c r="I182" i="33"/>
  <c r="O209" i="33"/>
  <c r="L132" i="33"/>
  <c r="C134" i="32" s="1"/>
  <c r="Q137" i="29" s="1"/>
  <c r="C137" i="29" s="1"/>
  <c r="I71" i="33"/>
  <c r="M132" i="33"/>
  <c r="D134" i="32" s="1"/>
  <c r="R137" i="29" s="1"/>
  <c r="D137" i="29" s="1"/>
  <c r="N132" i="33"/>
  <c r="I302" i="33"/>
  <c r="L302" i="33" s="1"/>
  <c r="C304" i="32" s="1"/>
  <c r="H136" i="33"/>
  <c r="AA139" i="32" s="1"/>
  <c r="P141" i="28" s="1"/>
  <c r="Q141" i="28" s="1"/>
  <c r="L78" i="33"/>
  <c r="C80" i="32" s="1"/>
  <c r="O80" i="33"/>
  <c r="I207" i="33"/>
  <c r="O207" i="33" s="1"/>
  <c r="M252" i="33"/>
  <c r="E255" i="32" s="1"/>
  <c r="S257" i="29" s="1"/>
  <c r="E257" i="29" s="1"/>
  <c r="M78" i="33"/>
  <c r="I61" i="33"/>
  <c r="I234" i="33"/>
  <c r="L234" i="33" s="1"/>
  <c r="C237" i="32" s="1"/>
  <c r="I242" i="33"/>
  <c r="I49" i="33"/>
  <c r="L49" i="33" s="1"/>
  <c r="C51" i="32" s="1"/>
  <c r="I282" i="33"/>
  <c r="O282" i="33" s="1"/>
  <c r="N78" i="33"/>
  <c r="I249" i="33"/>
  <c r="M249" i="33" s="1"/>
  <c r="O252" i="33"/>
  <c r="L68" i="33"/>
  <c r="C70" i="32" s="1"/>
  <c r="I153" i="33"/>
  <c r="M68" i="33"/>
  <c r="D70" i="32" s="1"/>
  <c r="R73" i="29" s="1"/>
  <c r="D73" i="29" s="1"/>
  <c r="I205" i="33"/>
  <c r="I125" i="33"/>
  <c r="N252" i="33"/>
  <c r="I299" i="33"/>
  <c r="N68" i="33"/>
  <c r="I224" i="33"/>
  <c r="N224" i="33" s="1"/>
  <c r="I131" i="33"/>
  <c r="I165" i="33"/>
  <c r="AA167" i="32"/>
  <c r="P170" i="28" s="1"/>
  <c r="Q170" i="28" s="1"/>
  <c r="I178" i="33"/>
  <c r="I274" i="33"/>
  <c r="L274" i="33" s="1"/>
  <c r="C277" i="32" s="1"/>
  <c r="H123" i="33"/>
  <c r="AA125" i="32" s="1"/>
  <c r="P128" i="28" s="1"/>
  <c r="Q128" i="28" s="1"/>
  <c r="H34" i="33"/>
  <c r="AA36" i="32" s="1"/>
  <c r="P39" i="28" s="1"/>
  <c r="Q39" i="28" s="1"/>
  <c r="I212" i="33"/>
  <c r="I28" i="33"/>
  <c r="I13" i="33"/>
  <c r="L13" i="33" s="1"/>
  <c r="C137" i="32" s="1"/>
  <c r="I45" i="33"/>
  <c r="I70" i="33"/>
  <c r="L219" i="33"/>
  <c r="C222" i="32" s="1"/>
  <c r="Q224" i="29" s="1"/>
  <c r="C224" i="29" s="1"/>
  <c r="I109" i="33"/>
  <c r="M109" i="33" s="1"/>
  <c r="H115" i="33"/>
  <c r="AA117" i="32" s="1"/>
  <c r="P120" i="28" s="1"/>
  <c r="Q120" i="28" s="1"/>
  <c r="M219" i="33"/>
  <c r="H22" i="33"/>
  <c r="AA24" i="32" s="1"/>
  <c r="P27" i="28" s="1"/>
  <c r="Q27" i="28" s="1"/>
  <c r="I43" i="33"/>
  <c r="O43" i="33" s="1"/>
  <c r="AA88" i="32"/>
  <c r="P91" i="28" s="1"/>
  <c r="Q91" i="28" s="1"/>
  <c r="I86" i="33"/>
  <c r="AA310" i="32"/>
  <c r="P312" i="28" s="1"/>
  <c r="Q312" i="28" s="1"/>
  <c r="I307" i="33"/>
  <c r="O307" i="33" s="1"/>
  <c r="C255" i="32"/>
  <c r="AA71" i="32"/>
  <c r="P74" i="28" s="1"/>
  <c r="Q74" i="28" s="1"/>
  <c r="I69" i="33"/>
  <c r="O69" i="33" s="1"/>
  <c r="I276" i="33"/>
  <c r="O276" i="33" s="1"/>
  <c r="I204" i="33"/>
  <c r="N168" i="33"/>
  <c r="O39" i="33"/>
  <c r="I42" i="33"/>
  <c r="O42" i="33" s="1"/>
  <c r="H215" i="33"/>
  <c r="AA218" i="32" s="1"/>
  <c r="P220" i="28" s="1"/>
  <c r="Q220" i="28" s="1"/>
  <c r="H163" i="33"/>
  <c r="AA165" i="32" s="1"/>
  <c r="P168" i="28" s="1"/>
  <c r="Q168" i="28" s="1"/>
  <c r="I117" i="33"/>
  <c r="I190" i="33"/>
  <c r="O72" i="33"/>
  <c r="N72" i="33"/>
  <c r="M72" i="33"/>
  <c r="L72" i="33"/>
  <c r="I279" i="33"/>
  <c r="I65" i="33"/>
  <c r="I25" i="33"/>
  <c r="L25" i="33" s="1"/>
  <c r="C27" i="32" s="1"/>
  <c r="P83" i="33"/>
  <c r="Q83" i="33" s="1"/>
  <c r="L168" i="33"/>
  <c r="C170" i="32" s="1"/>
  <c r="Q173" i="29" s="1"/>
  <c r="C173" i="29" s="1"/>
  <c r="I9" i="33"/>
  <c r="AA12" i="32"/>
  <c r="P14" i="28" s="1"/>
  <c r="Q14" i="28" s="1"/>
  <c r="I141" i="33"/>
  <c r="I106" i="33"/>
  <c r="I12" i="33"/>
  <c r="O12" i="33" s="1"/>
  <c r="I253" i="33"/>
  <c r="L253" i="33" s="1"/>
  <c r="C256" i="32" s="1"/>
  <c r="I202" i="33"/>
  <c r="H146" i="33"/>
  <c r="AA149" i="32" s="1"/>
  <c r="P151" i="28" s="1"/>
  <c r="Q151" i="28" s="1"/>
  <c r="H96" i="33"/>
  <c r="AA98" i="32" s="1"/>
  <c r="P101" i="28" s="1"/>
  <c r="Q101" i="28" s="1"/>
  <c r="P21" i="33"/>
  <c r="G23" i="32" s="1"/>
  <c r="U26" i="29" s="1"/>
  <c r="G26" i="29" s="1"/>
  <c r="M122" i="33"/>
  <c r="O122" i="33"/>
  <c r="N122" i="33"/>
  <c r="O60" i="33"/>
  <c r="N60" i="33"/>
  <c r="M60" i="33"/>
  <c r="L60" i="33"/>
  <c r="C62" i="32" s="1"/>
  <c r="Q65" i="29" s="1"/>
  <c r="C65" i="29" s="1"/>
  <c r="I306" i="33"/>
  <c r="O306" i="33" s="1"/>
  <c r="I193" i="33"/>
  <c r="I200" i="33"/>
  <c r="H73" i="33"/>
  <c r="AA75" i="32" s="1"/>
  <c r="P78" i="28" s="1"/>
  <c r="Q78" i="28" s="1"/>
  <c r="I150" i="33"/>
  <c r="N150" i="33" s="1"/>
  <c r="I94" i="33"/>
  <c r="O94" i="33" s="1"/>
  <c r="I82" i="33"/>
  <c r="O82" i="33" s="1"/>
  <c r="I105" i="33"/>
  <c r="L105" i="33" s="1"/>
  <c r="C107" i="32" s="1"/>
  <c r="I7" i="33"/>
  <c r="N7" i="33" s="1"/>
  <c r="I15" i="33"/>
  <c r="L15" i="33" s="1"/>
  <c r="C17" i="32" s="1"/>
  <c r="H296" i="33"/>
  <c r="AA299" i="32" s="1"/>
  <c r="P301" i="28" s="1"/>
  <c r="Q301" i="28" s="1"/>
  <c r="N108" i="33"/>
  <c r="M108" i="33"/>
  <c r="L108" i="33"/>
  <c r="O108" i="33"/>
  <c r="H121" i="33"/>
  <c r="AA123" i="32" s="1"/>
  <c r="P126" i="28" s="1"/>
  <c r="Q126" i="28" s="1"/>
  <c r="M41" i="33"/>
  <c r="L41" i="33"/>
  <c r="C43" i="32" s="1"/>
  <c r="Q46" i="29" s="1"/>
  <c r="C46" i="29" s="1"/>
  <c r="I229" i="33"/>
  <c r="I56" i="33"/>
  <c r="H23" i="33"/>
  <c r="AA25" i="32" s="1"/>
  <c r="P28" i="28" s="1"/>
  <c r="Q28" i="28" s="1"/>
  <c r="H85" i="33"/>
  <c r="AA87" i="32" s="1"/>
  <c r="P90" i="28" s="1"/>
  <c r="Q90" i="28" s="1"/>
  <c r="I256" i="33"/>
  <c r="AA259" i="32"/>
  <c r="P261" i="28" s="1"/>
  <c r="Q261" i="28" s="1"/>
  <c r="M80" i="33"/>
  <c r="L80" i="33"/>
  <c r="C82" i="32" s="1"/>
  <c r="Q85" i="29" s="1"/>
  <c r="C85" i="29" s="1"/>
  <c r="I278" i="33"/>
  <c r="I46" i="33"/>
  <c r="I58" i="33"/>
  <c r="N58" i="33" s="1"/>
  <c r="I262" i="33"/>
  <c r="O262" i="33" s="1"/>
  <c r="I50" i="33"/>
  <c r="M50" i="33" s="1"/>
  <c r="I127" i="33"/>
  <c r="N127" i="33" s="1"/>
  <c r="H172" i="33"/>
  <c r="AA174" i="32" s="1"/>
  <c r="P177" i="28" s="1"/>
  <c r="Q177" i="28" s="1"/>
  <c r="I220" i="33"/>
  <c r="AA223" i="32"/>
  <c r="P225" i="28" s="1"/>
  <c r="Q225" i="28" s="1"/>
  <c r="I272" i="33"/>
  <c r="I285" i="33"/>
  <c r="O285" i="33" s="1"/>
  <c r="I238" i="33"/>
  <c r="I14" i="33"/>
  <c r="M14" i="33" s="1"/>
  <c r="I129" i="33"/>
  <c r="H140" i="33"/>
  <c r="AA143" i="32" s="1"/>
  <c r="P145" i="28" s="1"/>
  <c r="Q145" i="28" s="1"/>
  <c r="H84" i="33"/>
  <c r="AA86" i="32" s="1"/>
  <c r="P89" i="28" s="1"/>
  <c r="Q89" i="28" s="1"/>
  <c r="I301" i="33"/>
  <c r="I275" i="33"/>
  <c r="N275" i="33" s="1"/>
  <c r="I250" i="33"/>
  <c r="L250" i="33" s="1"/>
  <c r="C253" i="32" s="1"/>
  <c r="I298" i="33"/>
  <c r="I288" i="33"/>
  <c r="N288" i="33" s="1"/>
  <c r="L249" i="33"/>
  <c r="C252" i="32" s="1"/>
  <c r="Q254" i="29" s="1"/>
  <c r="C254" i="29" s="1"/>
  <c r="I79" i="33"/>
  <c r="N79" i="33" s="1"/>
  <c r="I213" i="33"/>
  <c r="O41" i="33"/>
  <c r="N52" i="33"/>
  <c r="I16" i="33"/>
  <c r="M16" i="33" s="1"/>
  <c r="I263" i="33"/>
  <c r="AA266" i="32"/>
  <c r="P268" i="28" s="1"/>
  <c r="Q268" i="28" s="1"/>
  <c r="I206" i="33"/>
  <c r="AA209" i="32"/>
  <c r="P211" i="28" s="1"/>
  <c r="Q211" i="28" s="1"/>
  <c r="I104" i="33"/>
  <c r="I184" i="33"/>
  <c r="AA186" i="32"/>
  <c r="P189" i="28" s="1"/>
  <c r="Q189" i="28" s="1"/>
  <c r="H134" i="33"/>
  <c r="AA136" i="32" s="1"/>
  <c r="P139" i="28" s="1"/>
  <c r="Q139" i="28" s="1"/>
  <c r="I92" i="33"/>
  <c r="E85" i="32"/>
  <c r="S88" i="29" s="1"/>
  <c r="E88" i="29" s="1"/>
  <c r="D85" i="32"/>
  <c r="R88" i="29" s="1"/>
  <c r="D88" i="29" s="1"/>
  <c r="F85" i="32"/>
  <c r="T88" i="29" s="1"/>
  <c r="F88" i="29" s="1"/>
  <c r="H74" i="33"/>
  <c r="AA76" i="32" s="1"/>
  <c r="P79" i="28" s="1"/>
  <c r="Q79" i="28" s="1"/>
  <c r="P243" i="33"/>
  <c r="G246" i="32" s="1"/>
  <c r="U248" i="29" s="1"/>
  <c r="G248" i="29" s="1"/>
  <c r="I164" i="33"/>
  <c r="I67" i="33"/>
  <c r="F252" i="32"/>
  <c r="T254" i="29" s="1"/>
  <c r="F254" i="29" s="1"/>
  <c r="E252" i="32"/>
  <c r="S254" i="29" s="1"/>
  <c r="E254" i="29" s="1"/>
  <c r="D252" i="32"/>
  <c r="R254" i="29" s="1"/>
  <c r="D254" i="29" s="1"/>
  <c r="M180" i="33"/>
  <c r="I239" i="33"/>
  <c r="H31" i="33"/>
  <c r="AA33" i="32" s="1"/>
  <c r="P36" i="28" s="1"/>
  <c r="Q36" i="28" s="1"/>
  <c r="I114" i="33"/>
  <c r="I107" i="33"/>
  <c r="I187" i="33"/>
  <c r="I218" i="33"/>
  <c r="F293" i="32"/>
  <c r="T295" i="29" s="1"/>
  <c r="F295" i="29" s="1"/>
  <c r="D293" i="32"/>
  <c r="R295" i="29" s="1"/>
  <c r="D295" i="29" s="1"/>
  <c r="E293" i="32"/>
  <c r="S295" i="29" s="1"/>
  <c r="E295" i="29" s="1"/>
  <c r="I259" i="33"/>
  <c r="I119" i="33"/>
  <c r="I32" i="33"/>
  <c r="I103" i="33"/>
  <c r="O234" i="33"/>
  <c r="H280" i="33"/>
  <c r="AA283" i="32" s="1"/>
  <c r="P285" i="28" s="1"/>
  <c r="Q285" i="28" s="1"/>
  <c r="H233" i="33"/>
  <c r="AA236" i="32" s="1"/>
  <c r="P238" i="28" s="1"/>
  <c r="Q238" i="28" s="1"/>
  <c r="Q315" i="29"/>
  <c r="C315" i="29" s="1"/>
  <c r="H162" i="33"/>
  <c r="AA163" i="32" s="1"/>
  <c r="P166" i="28" s="1"/>
  <c r="Q166" i="28" s="1"/>
  <c r="I223" i="33"/>
  <c r="O264" i="33"/>
  <c r="N264" i="33"/>
  <c r="M264" i="33"/>
  <c r="L264" i="33"/>
  <c r="C267" i="32" s="1"/>
  <c r="I236" i="33"/>
  <c r="I211" i="33"/>
  <c r="I112" i="33"/>
  <c r="I75" i="33"/>
  <c r="I87" i="33"/>
  <c r="P196" i="33"/>
  <c r="H62" i="33"/>
  <c r="AA64" i="32" s="1"/>
  <c r="P67" i="28" s="1"/>
  <c r="Q67" i="28" s="1"/>
  <c r="I30" i="33"/>
  <c r="H214" i="33"/>
  <c r="AA217" i="32" s="1"/>
  <c r="P219" i="28" s="1"/>
  <c r="Q219" i="28" s="1"/>
  <c r="H148" i="33"/>
  <c r="AA151" i="32" s="1"/>
  <c r="P153" i="28" s="1"/>
  <c r="Q153" i="28" s="1"/>
  <c r="I287" i="33"/>
  <c r="I101" i="33"/>
  <c r="H24" i="33"/>
  <c r="AA26" i="32" s="1"/>
  <c r="P29" i="28" s="1"/>
  <c r="Q29" i="28" s="1"/>
  <c r="I151" i="33"/>
  <c r="I18" i="33"/>
  <c r="Q161" i="29"/>
  <c r="C161" i="29" s="1"/>
  <c r="I29" i="33"/>
  <c r="I51" i="33"/>
  <c r="H203" i="33"/>
  <c r="AA205" i="32" s="1"/>
  <c r="P208" i="28" s="1"/>
  <c r="Q208" i="28" s="1"/>
  <c r="Q315" i="33"/>
  <c r="I293" i="33"/>
  <c r="AD322" i="32"/>
  <c r="L324" i="28" s="1"/>
  <c r="M324" i="28" s="1"/>
  <c r="AC322" i="32"/>
  <c r="U324" i="29"/>
  <c r="G324" i="29" s="1"/>
  <c r="I281" i="33"/>
  <c r="I227" i="33"/>
  <c r="O283" i="33"/>
  <c r="N283" i="33"/>
  <c r="M283" i="33"/>
  <c r="L283" i="33"/>
  <c r="C286" i="32" s="1"/>
  <c r="I260" i="33"/>
  <c r="H217" i="33"/>
  <c r="AA220" i="32" s="1"/>
  <c r="P222" i="28" s="1"/>
  <c r="Q222" i="28" s="1"/>
  <c r="I155" i="33"/>
  <c r="I63" i="33"/>
  <c r="P267" i="33"/>
  <c r="G270" i="32" s="1"/>
  <c r="U272" i="29" s="1"/>
  <c r="G272" i="29" s="1"/>
  <c r="H77" i="33"/>
  <c r="AA79" i="32" s="1"/>
  <c r="P82" i="28" s="1"/>
  <c r="Q82" i="28" s="1"/>
  <c r="I130" i="33"/>
  <c r="I144" i="33"/>
  <c r="I154" i="33"/>
  <c r="I55" i="33"/>
  <c r="I10" i="33"/>
  <c r="P59" i="33"/>
  <c r="I235" i="33"/>
  <c r="I33" i="33"/>
  <c r="I294" i="33"/>
  <c r="AE34" i="41"/>
  <c r="H228" i="33"/>
  <c r="AA231" i="32" s="1"/>
  <c r="P233" i="28" s="1"/>
  <c r="Q233" i="28" s="1"/>
  <c r="H135" i="33"/>
  <c r="AA138" i="32" s="1"/>
  <c r="P140" i="28" s="1"/>
  <c r="Q140" i="28" s="1"/>
  <c r="Q73" i="29"/>
  <c r="C73" i="29" s="1"/>
  <c r="I270" i="33"/>
  <c r="AD317" i="32"/>
  <c r="L319" i="28" s="1"/>
  <c r="M319" i="28" s="1"/>
  <c r="AC317" i="32"/>
  <c r="U319" i="29"/>
  <c r="G319" i="29" s="1"/>
  <c r="D313" i="32"/>
  <c r="R315" i="29" s="1"/>
  <c r="D315" i="29" s="1"/>
  <c r="F313" i="32"/>
  <c r="T315" i="29" s="1"/>
  <c r="F315" i="29" s="1"/>
  <c r="E313" i="32"/>
  <c r="S315" i="29" s="1"/>
  <c r="E315" i="29" s="1"/>
  <c r="I289" i="33"/>
  <c r="I241" i="33"/>
  <c r="H216" i="33"/>
  <c r="AA219" i="32" s="1"/>
  <c r="P221" i="28" s="1"/>
  <c r="Q221" i="28" s="1"/>
  <c r="I159" i="33"/>
  <c r="I303" i="33"/>
  <c r="I300" i="33"/>
  <c r="Q314" i="33"/>
  <c r="H201" i="33"/>
  <c r="AA204" i="32" s="1"/>
  <c r="P206" i="28" s="1"/>
  <c r="Q206" i="28" s="1"/>
  <c r="I222" i="33"/>
  <c r="I244" i="33"/>
  <c r="I199" i="33"/>
  <c r="I175" i="33"/>
  <c r="E212" i="32"/>
  <c r="S214" i="29" s="1"/>
  <c r="E214" i="29" s="1"/>
  <c r="D212" i="32"/>
  <c r="R214" i="29" s="1"/>
  <c r="D214" i="29" s="1"/>
  <c r="F212" i="32"/>
  <c r="T214" i="29" s="1"/>
  <c r="F214" i="29" s="1"/>
  <c r="P133" i="33"/>
  <c r="G135" i="32" s="1"/>
  <c r="U138" i="29" s="1"/>
  <c r="G138" i="29" s="1"/>
  <c r="C135" i="32"/>
  <c r="I170" i="33"/>
  <c r="H48" i="33"/>
  <c r="AA50" i="32" s="1"/>
  <c r="P53" i="28" s="1"/>
  <c r="Q53" i="28" s="1"/>
  <c r="I139" i="33"/>
  <c r="I38" i="33"/>
  <c r="I19" i="33"/>
  <c r="I113" i="33"/>
  <c r="I230" i="33"/>
  <c r="I95" i="33"/>
  <c r="H53" i="33"/>
  <c r="AA55" i="32" s="1"/>
  <c r="P58" i="28" s="1"/>
  <c r="Q58" i="28" s="1"/>
  <c r="L282" i="33"/>
  <c r="C285" i="32" s="1"/>
  <c r="F258" i="32"/>
  <c r="T260" i="29" s="1"/>
  <c r="F260" i="29" s="1"/>
  <c r="E258" i="32"/>
  <c r="S260" i="29" s="1"/>
  <c r="E260" i="29" s="1"/>
  <c r="D258" i="32"/>
  <c r="R260" i="29" s="1"/>
  <c r="D260" i="29" s="1"/>
  <c r="P290" i="33"/>
  <c r="G293" i="32" s="1"/>
  <c r="U295" i="29" s="1"/>
  <c r="G295" i="29" s="1"/>
  <c r="N61" i="33"/>
  <c r="M61" i="33"/>
  <c r="L61" i="33"/>
  <c r="C63" i="32" s="1"/>
  <c r="O61" i="33"/>
  <c r="Q52" i="29"/>
  <c r="C52" i="29" s="1"/>
  <c r="I26" i="33"/>
  <c r="D61" i="32"/>
  <c r="R64" i="29" s="1"/>
  <c r="D64" i="29" s="1"/>
  <c r="F61" i="32"/>
  <c r="T64" i="29" s="1"/>
  <c r="F64" i="29" s="1"/>
  <c r="E61" i="32"/>
  <c r="S64" i="29" s="1"/>
  <c r="E64" i="29" s="1"/>
  <c r="I143" i="33"/>
  <c r="Q64" i="29"/>
  <c r="C64" i="29" s="1"/>
  <c r="M149" i="33"/>
  <c r="L149" i="33"/>
  <c r="C152" i="32" s="1"/>
  <c r="O149" i="33"/>
  <c r="N149" i="33"/>
  <c r="N94" i="33"/>
  <c r="O70" i="33"/>
  <c r="N70" i="33"/>
  <c r="M70" i="33"/>
  <c r="L70" i="33"/>
  <c r="C72" i="32" s="1"/>
  <c r="F234" i="32"/>
  <c r="T236" i="29" s="1"/>
  <c r="F236" i="29" s="1"/>
  <c r="E234" i="32"/>
  <c r="S236" i="29" s="1"/>
  <c r="E236" i="29" s="1"/>
  <c r="D234" i="32"/>
  <c r="R236" i="29" s="1"/>
  <c r="D236" i="29" s="1"/>
  <c r="H198" i="33"/>
  <c r="AA201" i="32" s="1"/>
  <c r="P203" i="28" s="1"/>
  <c r="Q203" i="28" s="1"/>
  <c r="H225" i="33"/>
  <c r="AA228" i="32" s="1"/>
  <c r="P230" i="28" s="1"/>
  <c r="Q230" i="28" s="1"/>
  <c r="O250" i="33"/>
  <c r="N250" i="33"/>
  <c r="M250" i="33"/>
  <c r="N109" i="33"/>
  <c r="F135" i="32"/>
  <c r="T138" i="29" s="1"/>
  <c r="F138" i="29" s="1"/>
  <c r="E135" i="32"/>
  <c r="S138" i="29" s="1"/>
  <c r="E138" i="29" s="1"/>
  <c r="D135" i="32"/>
  <c r="R138" i="29" s="1"/>
  <c r="D138" i="29" s="1"/>
  <c r="F270" i="32"/>
  <c r="T272" i="29" s="1"/>
  <c r="F272" i="29" s="1"/>
  <c r="E270" i="32"/>
  <c r="S272" i="29" s="1"/>
  <c r="E272" i="29" s="1"/>
  <c r="D270" i="32"/>
  <c r="R272" i="29" s="1"/>
  <c r="D272" i="29" s="1"/>
  <c r="H35" i="33"/>
  <c r="AA37" i="32" s="1"/>
  <c r="P40" i="28" s="1"/>
  <c r="Q40" i="28" s="1"/>
  <c r="O202" i="33"/>
  <c r="N202" i="33"/>
  <c r="M202" i="33"/>
  <c r="L202" i="33"/>
  <c r="C208" i="32" s="1"/>
  <c r="O79" i="33"/>
  <c r="M79" i="33"/>
  <c r="AG316" i="32"/>
  <c r="G318" i="28"/>
  <c r="H318" i="28" s="1"/>
  <c r="H37" i="33"/>
  <c r="AA39" i="32" s="1"/>
  <c r="P42" i="28" s="1"/>
  <c r="Q42" i="28" s="1"/>
  <c r="Q257" i="29"/>
  <c r="C257" i="29" s="1"/>
  <c r="H36" i="33"/>
  <c r="AA38" i="32" s="1"/>
  <c r="P41" i="28" s="1"/>
  <c r="Q41" i="28" s="1"/>
  <c r="I93" i="33"/>
  <c r="I54" i="33"/>
  <c r="I88" i="33"/>
  <c r="O66" i="33"/>
  <c r="N66" i="33"/>
  <c r="M66" i="33"/>
  <c r="L66" i="33"/>
  <c r="C68" i="32" s="1"/>
  <c r="M309" i="33"/>
  <c r="L309" i="33"/>
  <c r="C312" i="32" s="1"/>
  <c r="O309" i="33"/>
  <c r="N309" i="33"/>
  <c r="H248" i="33"/>
  <c r="AA251" i="32" s="1"/>
  <c r="P253" i="28" s="1"/>
  <c r="Q253" i="28" s="1"/>
  <c r="H111" i="33"/>
  <c r="AA113" i="32" s="1"/>
  <c r="P116" i="28" s="1"/>
  <c r="Q116" i="28" s="1"/>
  <c r="I251" i="33"/>
  <c r="I188" i="33"/>
  <c r="C124" i="32"/>
  <c r="H118" i="33"/>
  <c r="AA120" i="32" s="1"/>
  <c r="P123" i="28" s="1"/>
  <c r="Q123" i="28" s="1"/>
  <c r="P310" i="33"/>
  <c r="H268" i="33"/>
  <c r="AA271" i="32" s="1"/>
  <c r="P273" i="28" s="1"/>
  <c r="Q273" i="28" s="1"/>
  <c r="Q319" i="33"/>
  <c r="I297" i="33"/>
  <c r="I291" i="33"/>
  <c r="Q318" i="33"/>
  <c r="H189" i="33"/>
  <c r="AA191" i="32" s="1"/>
  <c r="P194" i="28" s="1"/>
  <c r="Q194" i="28" s="1"/>
  <c r="I176" i="33"/>
  <c r="I137" i="33"/>
  <c r="I158" i="33"/>
  <c r="I128" i="33"/>
  <c r="H27" i="33"/>
  <c r="AA29" i="32" s="1"/>
  <c r="P32" i="28" s="1"/>
  <c r="Q32" i="28" s="1"/>
  <c r="I17" i="33"/>
  <c r="M98" i="33"/>
  <c r="L98" i="33"/>
  <c r="C100" i="32" s="1"/>
  <c r="N98" i="33"/>
  <c r="O98" i="33"/>
  <c r="I126" i="33"/>
  <c r="I99" i="33"/>
  <c r="I81" i="33"/>
  <c r="AD318" i="32"/>
  <c r="L320" i="28" s="1"/>
  <c r="M320" i="28" s="1"/>
  <c r="N213" i="33"/>
  <c r="M213" i="33"/>
  <c r="L213" i="33"/>
  <c r="C216" i="32" s="1"/>
  <c r="O213" i="33"/>
  <c r="O50" i="33"/>
  <c r="N50" i="33"/>
  <c r="I138" i="33"/>
  <c r="M15" i="33"/>
  <c r="I40" i="33"/>
  <c r="O8" i="33"/>
  <c r="N8" i="33"/>
  <c r="M8" i="33"/>
  <c r="L8" i="33"/>
  <c r="C11" i="32" s="1"/>
  <c r="W316" i="29"/>
  <c r="H292" i="33"/>
  <c r="AA295" i="32" s="1"/>
  <c r="P297" i="28" s="1"/>
  <c r="Q297" i="28" s="1"/>
  <c r="M271" i="33"/>
  <c r="L271" i="33"/>
  <c r="C274" i="32" s="1"/>
  <c r="O271" i="33"/>
  <c r="N271" i="33"/>
  <c r="I284" i="33"/>
  <c r="L212" i="33"/>
  <c r="C215" i="32" s="1"/>
  <c r="M212" i="33"/>
  <c r="O212" i="33"/>
  <c r="N212" i="33"/>
  <c r="O224" i="33"/>
  <c r="O238" i="33"/>
  <c r="N238" i="33"/>
  <c r="M238" i="33"/>
  <c r="L238" i="33"/>
  <c r="C241" i="32" s="1"/>
  <c r="H186" i="33"/>
  <c r="AA188" i="32" s="1"/>
  <c r="P191" i="28" s="1"/>
  <c r="Q191" i="28" s="1"/>
  <c r="M193" i="33"/>
  <c r="O193" i="33"/>
  <c r="N193" i="33"/>
  <c r="L193" i="33"/>
  <c r="C196" i="32" s="1"/>
  <c r="H167" i="33"/>
  <c r="AA169" i="32" s="1"/>
  <c r="P172" i="28" s="1"/>
  <c r="Q172" i="28" s="1"/>
  <c r="I102" i="33"/>
  <c r="I210" i="33"/>
  <c r="AG320" i="32"/>
  <c r="G322" i="28"/>
  <c r="H322" i="28" s="1"/>
  <c r="N86" i="33"/>
  <c r="M86" i="33"/>
  <c r="L86" i="33"/>
  <c r="C88" i="32" s="1"/>
  <c r="O86" i="33"/>
  <c r="L262" i="33"/>
  <c r="C265" i="32" s="1"/>
  <c r="C46" i="32"/>
  <c r="Q83" i="29"/>
  <c r="C83" i="29" s="1"/>
  <c r="O308" i="33"/>
  <c r="N308" i="33"/>
  <c r="M308" i="33"/>
  <c r="L308" i="33"/>
  <c r="C311" i="32" s="1"/>
  <c r="O127" i="33"/>
  <c r="AC318" i="32"/>
  <c r="D170" i="32"/>
  <c r="R173" i="29" s="1"/>
  <c r="D173" i="29" s="1"/>
  <c r="F170" i="32"/>
  <c r="T173" i="29" s="1"/>
  <c r="F173" i="29" s="1"/>
  <c r="E170" i="32"/>
  <c r="S173" i="29" s="1"/>
  <c r="E173" i="29" s="1"/>
  <c r="I305" i="33"/>
  <c r="H177" i="33"/>
  <c r="AA179" i="32" s="1"/>
  <c r="P182" i="28" s="1"/>
  <c r="Q182" i="28" s="1"/>
  <c r="H157" i="33"/>
  <c r="AA159" i="32" s="1"/>
  <c r="P162" i="28" s="1"/>
  <c r="Q162" i="28" s="1"/>
  <c r="M200" i="33"/>
  <c r="L200" i="33"/>
  <c r="C203" i="32" s="1"/>
  <c r="N200" i="33"/>
  <c r="O200" i="33"/>
  <c r="M125" i="33"/>
  <c r="L125" i="33"/>
  <c r="C127" i="32" s="1"/>
  <c r="O125" i="33"/>
  <c r="N125" i="33"/>
  <c r="N242" i="33"/>
  <c r="M242" i="33"/>
  <c r="L242" i="33"/>
  <c r="C245" i="32" s="1"/>
  <c r="O242" i="33"/>
  <c r="F80" i="32"/>
  <c r="T83" i="29" s="1"/>
  <c r="F83" i="29" s="1"/>
  <c r="E80" i="32"/>
  <c r="S83" i="29" s="1"/>
  <c r="E83" i="29" s="1"/>
  <c r="D80" i="32"/>
  <c r="R83" i="29" s="1"/>
  <c r="D83" i="29" s="1"/>
  <c r="P255" i="33"/>
  <c r="G258" i="32" s="1"/>
  <c r="U260" i="29" s="1"/>
  <c r="G260" i="29" s="1"/>
  <c r="O204" i="33"/>
  <c r="L204" i="33"/>
  <c r="C206" i="32" s="1"/>
  <c r="N204" i="33"/>
  <c r="M204" i="33"/>
  <c r="H76" i="33"/>
  <c r="AA78" i="32" s="1"/>
  <c r="P81" i="28" s="1"/>
  <c r="Q81" i="28" s="1"/>
  <c r="AC315" i="32"/>
  <c r="Q57" i="29"/>
  <c r="C57" i="29" s="1"/>
  <c r="I240" i="33"/>
  <c r="H269" i="33"/>
  <c r="AA272" i="32" s="1"/>
  <c r="P274" i="28" s="1"/>
  <c r="Q274" i="28" s="1"/>
  <c r="I208" i="33"/>
  <c r="I277" i="33"/>
  <c r="M197" i="33"/>
  <c r="L197" i="33"/>
  <c r="C200" i="32" s="1"/>
  <c r="N197" i="33"/>
  <c r="O197" i="33"/>
  <c r="I247" i="33"/>
  <c r="H174" i="33"/>
  <c r="AA176" i="32" s="1"/>
  <c r="P179" i="28" s="1"/>
  <c r="Q179" i="28" s="1"/>
  <c r="N161" i="33"/>
  <c r="L161" i="33"/>
  <c r="C164" i="32" s="1"/>
  <c r="O161" i="33"/>
  <c r="M161" i="33"/>
  <c r="H152" i="33"/>
  <c r="AA155" i="32" s="1"/>
  <c r="P157" i="28" s="1"/>
  <c r="Q157" i="28" s="1"/>
  <c r="N194" i="33"/>
  <c r="O194" i="33"/>
  <c r="M194" i="33"/>
  <c r="L194" i="33"/>
  <c r="C197" i="32" s="1"/>
  <c r="F222" i="32"/>
  <c r="T224" i="29" s="1"/>
  <c r="F224" i="29" s="1"/>
  <c r="E222" i="32"/>
  <c r="S224" i="29" s="1"/>
  <c r="E224" i="29" s="1"/>
  <c r="D222" i="32"/>
  <c r="R224" i="29" s="1"/>
  <c r="D224" i="29" s="1"/>
  <c r="N145" i="33"/>
  <c r="O145" i="33"/>
  <c r="M145" i="33"/>
  <c r="L145" i="33"/>
  <c r="C148" i="32" s="1"/>
  <c r="I169" i="33"/>
  <c r="Q214" i="29"/>
  <c r="C214" i="29" s="1"/>
  <c r="P90" i="33"/>
  <c r="G92" i="32" s="1"/>
  <c r="U95" i="29" s="1"/>
  <c r="G95" i="29" s="1"/>
  <c r="C92" i="32"/>
  <c r="Q201" i="29"/>
  <c r="C201" i="29" s="1"/>
  <c r="F23" i="32"/>
  <c r="T26" i="29" s="1"/>
  <c r="F26" i="29" s="1"/>
  <c r="E23" i="32"/>
  <c r="S26" i="29" s="1"/>
  <c r="E26" i="29" s="1"/>
  <c r="D23" i="32"/>
  <c r="R26" i="29" s="1"/>
  <c r="D26" i="29" s="1"/>
  <c r="H192" i="33"/>
  <c r="AA194" i="32" s="1"/>
  <c r="P197" i="28" s="1"/>
  <c r="Q197" i="28" s="1"/>
  <c r="O273" i="33"/>
  <c r="N273" i="33"/>
  <c r="M273" i="33"/>
  <c r="L273" i="33"/>
  <c r="C276" i="32" s="1"/>
  <c r="I64" i="33"/>
  <c r="H160" i="33"/>
  <c r="AA162" i="32" s="1"/>
  <c r="P165" i="28" s="1"/>
  <c r="Q165" i="28" s="1"/>
  <c r="I142" i="33"/>
  <c r="M299" i="33"/>
  <c r="L299" i="33"/>
  <c r="C302" i="32" s="1"/>
  <c r="O299" i="33"/>
  <c r="N299" i="33"/>
  <c r="P47" i="33"/>
  <c r="G49" i="32" s="1"/>
  <c r="U52" i="29" s="1"/>
  <c r="G52" i="29" s="1"/>
  <c r="AD315" i="32"/>
  <c r="L317" i="28" s="1"/>
  <c r="M317" i="28" s="1"/>
  <c r="I97" i="33"/>
  <c r="Q26" i="29"/>
  <c r="C26" i="29" s="1"/>
  <c r="H257" i="33"/>
  <c r="AA260" i="32" s="1"/>
  <c r="P262" i="28" s="1"/>
  <c r="Q262" i="28" s="1"/>
  <c r="AB6" i="41"/>
  <c r="AB17" i="41" s="1"/>
  <c r="AB40" i="41" s="1"/>
  <c r="AB44" i="41" s="1"/>
  <c r="AA17" i="41"/>
  <c r="AA40" i="41" s="1"/>
  <c r="AA44" i="41" s="1"/>
  <c r="H246" i="33"/>
  <c r="AA249" i="32" s="1"/>
  <c r="P251" i="28" s="1"/>
  <c r="Q251" i="28" s="1"/>
  <c r="L298" i="33"/>
  <c r="C301" i="32" s="1"/>
  <c r="O298" i="33"/>
  <c r="N298" i="33"/>
  <c r="M298" i="33"/>
  <c r="O301" i="33"/>
  <c r="N301" i="33"/>
  <c r="M301" i="33"/>
  <c r="L301" i="33"/>
  <c r="C308" i="32" s="1"/>
  <c r="O279" i="33"/>
  <c r="N279" i="33"/>
  <c r="M279" i="33"/>
  <c r="L279" i="33"/>
  <c r="C282" i="32" s="1"/>
  <c r="N65" i="33"/>
  <c r="M65" i="33"/>
  <c r="L65" i="33"/>
  <c r="C67" i="32" s="1"/>
  <c r="O65" i="33"/>
  <c r="O171" i="33"/>
  <c r="N171" i="33"/>
  <c r="M171" i="33"/>
  <c r="L171" i="33"/>
  <c r="C173" i="32" s="1"/>
  <c r="F14" i="32"/>
  <c r="T16" i="29" s="1"/>
  <c r="F16" i="29" s="1"/>
  <c r="E14" i="32"/>
  <c r="S16" i="29" s="1"/>
  <c r="E16" i="29" s="1"/>
  <c r="D14" i="32"/>
  <c r="R16" i="29" s="1"/>
  <c r="D16" i="29" s="1"/>
  <c r="O57" i="33"/>
  <c r="M57" i="33"/>
  <c r="L57" i="33"/>
  <c r="C59" i="32" s="1"/>
  <c r="N57" i="33"/>
  <c r="F158" i="32"/>
  <c r="T161" i="29" s="1"/>
  <c r="F161" i="29" s="1"/>
  <c r="E158" i="32"/>
  <c r="S161" i="29" s="1"/>
  <c r="E161" i="29" s="1"/>
  <c r="D158" i="32"/>
  <c r="R161" i="29" s="1"/>
  <c r="D161" i="29" s="1"/>
  <c r="Q295" i="29"/>
  <c r="C295" i="29" s="1"/>
  <c r="H258" i="33"/>
  <c r="AA261" i="32" s="1"/>
  <c r="P263" i="28" s="1"/>
  <c r="Q263" i="28" s="1"/>
  <c r="H261" i="33"/>
  <c r="AA264" i="32" s="1"/>
  <c r="P266" i="28" s="1"/>
  <c r="Q266" i="28" s="1"/>
  <c r="F246" i="32"/>
  <c r="T248" i="29" s="1"/>
  <c r="F248" i="29" s="1"/>
  <c r="E246" i="32"/>
  <c r="S248" i="29" s="1"/>
  <c r="E248" i="29" s="1"/>
  <c r="D246" i="32"/>
  <c r="R248" i="29" s="1"/>
  <c r="D248" i="29" s="1"/>
  <c r="M185" i="33"/>
  <c r="L185" i="33"/>
  <c r="C187" i="32" s="1"/>
  <c r="O185" i="33"/>
  <c r="N185" i="33"/>
  <c r="L266" i="33"/>
  <c r="C269" i="32" s="1"/>
  <c r="O266" i="33"/>
  <c r="N266" i="33"/>
  <c r="M266" i="33"/>
  <c r="H147" i="33"/>
  <c r="AA150" i="32" s="1"/>
  <c r="P152" i="28" s="1"/>
  <c r="Q152" i="28" s="1"/>
  <c r="I195" i="33"/>
  <c r="H191" i="33"/>
  <c r="AA193" i="32" s="1"/>
  <c r="P196" i="28" s="1"/>
  <c r="Q196" i="28" s="1"/>
  <c r="M205" i="33"/>
  <c r="L205" i="33"/>
  <c r="C207" i="32" s="1"/>
  <c r="O205" i="33"/>
  <c r="N205" i="33"/>
  <c r="H179" i="33"/>
  <c r="AA181" i="32" s="1"/>
  <c r="P184" i="28" s="1"/>
  <c r="Q184" i="28" s="1"/>
  <c r="F92" i="32"/>
  <c r="T95" i="29" s="1"/>
  <c r="F95" i="29" s="1"/>
  <c r="E92" i="32"/>
  <c r="S95" i="29" s="1"/>
  <c r="E95" i="29" s="1"/>
  <c r="D92" i="32"/>
  <c r="R95" i="29" s="1"/>
  <c r="D95" i="29" s="1"/>
  <c r="N182" i="33"/>
  <c r="O182" i="33"/>
  <c r="M182" i="33"/>
  <c r="L182" i="33"/>
  <c r="C184" i="32" s="1"/>
  <c r="F199" i="32"/>
  <c r="T201" i="29" s="1"/>
  <c r="F201" i="29" s="1"/>
  <c r="E199" i="32"/>
  <c r="S201" i="29" s="1"/>
  <c r="E201" i="29" s="1"/>
  <c r="D199" i="32"/>
  <c r="R201" i="29" s="1"/>
  <c r="D201" i="29" s="1"/>
  <c r="H110" i="33"/>
  <c r="AA112" i="32" s="1"/>
  <c r="P115" i="28" s="1"/>
  <c r="Q115" i="28" s="1"/>
  <c r="AC321" i="32"/>
  <c r="F46" i="32"/>
  <c r="T49" i="29" s="1"/>
  <c r="F49" i="29" s="1"/>
  <c r="E46" i="32"/>
  <c r="S49" i="29" s="1"/>
  <c r="E49" i="29" s="1"/>
  <c r="D46" i="32"/>
  <c r="R49" i="29" s="1"/>
  <c r="D49" i="29" s="1"/>
  <c r="I286" i="33"/>
  <c r="H304" i="33"/>
  <c r="AA306" i="32" s="1"/>
  <c r="P309" i="28" s="1"/>
  <c r="Q309" i="28" s="1"/>
  <c r="H221" i="33"/>
  <c r="AA224" i="32" s="1"/>
  <c r="P226" i="28" s="1"/>
  <c r="Q226" i="28" s="1"/>
  <c r="M173" i="33"/>
  <c r="L173" i="33"/>
  <c r="C175" i="32" s="1"/>
  <c r="O173" i="33"/>
  <c r="N173" i="33"/>
  <c r="I232" i="33"/>
  <c r="O254" i="33"/>
  <c r="N254" i="33"/>
  <c r="M254" i="33"/>
  <c r="L254" i="33"/>
  <c r="C257" i="32" s="1"/>
  <c r="H166" i="33"/>
  <c r="AA168" i="32" s="1"/>
  <c r="P171" i="28" s="1"/>
  <c r="Q171" i="28" s="1"/>
  <c r="I100" i="33"/>
  <c r="M6" i="33"/>
  <c r="L6" i="33"/>
  <c r="C9" i="32" s="1"/>
  <c r="O6" i="33"/>
  <c r="N6" i="33"/>
  <c r="I183" i="33"/>
  <c r="AG319" i="32"/>
  <c r="G321" i="28"/>
  <c r="H321" i="28" s="1"/>
  <c r="G321" i="33"/>
  <c r="H5" i="33"/>
  <c r="H89" i="33"/>
  <c r="AA91" i="32" s="1"/>
  <c r="P94" i="28" s="1"/>
  <c r="Q94" i="28" s="1"/>
  <c r="I237" i="33"/>
  <c r="I265" i="33"/>
  <c r="I295" i="33"/>
  <c r="I226" i="33"/>
  <c r="D49" i="32"/>
  <c r="R52" i="29" s="1"/>
  <c r="D52" i="29" s="1"/>
  <c r="F49" i="32"/>
  <c r="T52" i="29" s="1"/>
  <c r="F52" i="29" s="1"/>
  <c r="E49" i="32"/>
  <c r="S52" i="29" s="1"/>
  <c r="E52" i="29" s="1"/>
  <c r="I116" i="33"/>
  <c r="AD321" i="32"/>
  <c r="L323" i="28" s="1"/>
  <c r="M323" i="28" s="1"/>
  <c r="E54" i="32"/>
  <c r="S57" i="29" s="1"/>
  <c r="E57" i="29" s="1"/>
  <c r="D54" i="32"/>
  <c r="R57" i="29" s="1"/>
  <c r="D57" i="29" s="1"/>
  <c r="F54" i="32"/>
  <c r="T57" i="29" s="1"/>
  <c r="F57" i="29" s="1"/>
  <c r="H91" i="33"/>
  <c r="AA93" i="32" s="1"/>
  <c r="P96" i="28" s="1"/>
  <c r="Q96" i="28" s="1"/>
  <c r="I20" i="33"/>
  <c r="L12" i="33" l="1"/>
  <c r="C15" i="32" s="1"/>
  <c r="P231" i="33"/>
  <c r="G234" i="32" s="1"/>
  <c r="U236" i="29" s="1"/>
  <c r="G236" i="29" s="1"/>
  <c r="P11" i="33"/>
  <c r="G14" i="32" s="1"/>
  <c r="U16" i="29" s="1"/>
  <c r="G16" i="29" s="1"/>
  <c r="G85" i="32"/>
  <c r="L42" i="33"/>
  <c r="C44" i="32" s="1"/>
  <c r="L180" i="33"/>
  <c r="C182" i="32" s="1"/>
  <c r="M42" i="33"/>
  <c r="O180" i="33"/>
  <c r="Q21" i="33"/>
  <c r="O150" i="33"/>
  <c r="M43" i="33"/>
  <c r="F45" i="32" s="1"/>
  <c r="T48" i="29" s="1"/>
  <c r="F48" i="29" s="1"/>
  <c r="F255" i="32"/>
  <c r="T257" i="29" s="1"/>
  <c r="F257" i="29" s="1"/>
  <c r="L58" i="33"/>
  <c r="C60" i="32" s="1"/>
  <c r="L150" i="33"/>
  <c r="C153" i="32" s="1"/>
  <c r="Q155" i="29" s="1"/>
  <c r="C155" i="29" s="1"/>
  <c r="N43" i="33"/>
  <c r="L43" i="33"/>
  <c r="C45" i="32" s="1"/>
  <c r="D255" i="32"/>
  <c r="R257" i="29" s="1"/>
  <c r="D257" i="29" s="1"/>
  <c r="M58" i="33"/>
  <c r="M150" i="33"/>
  <c r="C234" i="32"/>
  <c r="O58" i="33"/>
  <c r="P209" i="33"/>
  <c r="G212" i="32" s="1"/>
  <c r="U214" i="29" s="1"/>
  <c r="G214" i="29" s="1"/>
  <c r="P168" i="33"/>
  <c r="Q168" i="33" s="1"/>
  <c r="D122" i="32"/>
  <c r="R125" i="29" s="1"/>
  <c r="D125" i="29" s="1"/>
  <c r="E122" i="32"/>
  <c r="S125" i="29" s="1"/>
  <c r="E125" i="29" s="1"/>
  <c r="L306" i="33"/>
  <c r="C309" i="32" s="1"/>
  <c r="Q311" i="29" s="1"/>
  <c r="C311" i="29" s="1"/>
  <c r="L127" i="33"/>
  <c r="C129" i="32" s="1"/>
  <c r="M306" i="33"/>
  <c r="M127" i="33"/>
  <c r="N306" i="33"/>
  <c r="N302" i="33"/>
  <c r="O302" i="33"/>
  <c r="M302" i="33"/>
  <c r="F304" i="32" s="1"/>
  <c r="T307" i="29" s="1"/>
  <c r="F307" i="29" s="1"/>
  <c r="Q243" i="33"/>
  <c r="P219" i="33"/>
  <c r="G222" i="32" s="1"/>
  <c r="M25" i="33"/>
  <c r="N25" i="33"/>
  <c r="O25" i="33"/>
  <c r="E41" i="32"/>
  <c r="S44" i="29" s="1"/>
  <c r="E44" i="29" s="1"/>
  <c r="F41" i="32"/>
  <c r="T44" i="29" s="1"/>
  <c r="F44" i="29" s="1"/>
  <c r="L39" i="33"/>
  <c r="C41" i="32" s="1"/>
  <c r="Q44" i="29" s="1"/>
  <c r="C44" i="29" s="1"/>
  <c r="I166" i="33"/>
  <c r="E70" i="32"/>
  <c r="S73" i="29" s="1"/>
  <c r="E73" i="29" s="1"/>
  <c r="P156" i="33"/>
  <c r="G158" i="32" s="1"/>
  <c r="U161" i="29" s="1"/>
  <c r="G161" i="29" s="1"/>
  <c r="P78" i="33"/>
  <c r="G80" i="32" s="1"/>
  <c r="AE6" i="41"/>
  <c r="M224" i="33"/>
  <c r="M94" i="33"/>
  <c r="N282" i="33"/>
  <c r="M282" i="33"/>
  <c r="F285" i="32" s="1"/>
  <c r="T287" i="29" s="1"/>
  <c r="F287" i="29" s="1"/>
  <c r="L94" i="33"/>
  <c r="C96" i="32" s="1"/>
  <c r="P122" i="33"/>
  <c r="G124" i="32" s="1"/>
  <c r="U127" i="29" s="1"/>
  <c r="G127" i="29" s="1"/>
  <c r="M49" i="33"/>
  <c r="P120" i="33"/>
  <c r="G122" i="32" s="1"/>
  <c r="U125" i="29" s="1"/>
  <c r="G125" i="29" s="1"/>
  <c r="L224" i="33"/>
  <c r="C227" i="32" s="1"/>
  <c r="F134" i="32"/>
  <c r="T137" i="29" s="1"/>
  <c r="F137" i="29" s="1"/>
  <c r="M82" i="33"/>
  <c r="O49" i="33"/>
  <c r="L79" i="33"/>
  <c r="C81" i="32" s="1"/>
  <c r="Q84" i="29" s="1"/>
  <c r="C84" i="29" s="1"/>
  <c r="L285" i="33"/>
  <c r="C288" i="32" s="1"/>
  <c r="E134" i="32"/>
  <c r="S137" i="29" s="1"/>
  <c r="E137" i="29" s="1"/>
  <c r="N49" i="33"/>
  <c r="N82" i="33"/>
  <c r="L307" i="33"/>
  <c r="C310" i="32" s="1"/>
  <c r="N285" i="33"/>
  <c r="L82" i="33"/>
  <c r="C84" i="32" s="1"/>
  <c r="M307" i="33"/>
  <c r="M13" i="33"/>
  <c r="N307" i="33"/>
  <c r="N13" i="33"/>
  <c r="O13" i="33"/>
  <c r="N245" i="33"/>
  <c r="L245" i="33"/>
  <c r="O245" i="33"/>
  <c r="M245" i="33"/>
  <c r="O275" i="33"/>
  <c r="O288" i="33"/>
  <c r="M234" i="33"/>
  <c r="P52" i="33"/>
  <c r="G54" i="32" s="1"/>
  <c r="U57" i="29" s="1"/>
  <c r="G57" i="29" s="1"/>
  <c r="M275" i="33"/>
  <c r="E278" i="32" s="1"/>
  <c r="S280" i="29" s="1"/>
  <c r="E280" i="29" s="1"/>
  <c r="L288" i="33"/>
  <c r="C291" i="32" s="1"/>
  <c r="N234" i="33"/>
  <c r="N39" i="33"/>
  <c r="P68" i="33"/>
  <c r="G70" i="32" s="1"/>
  <c r="U73" i="29" s="1"/>
  <c r="G73" i="29" s="1"/>
  <c r="M288" i="33"/>
  <c r="E291" i="32" s="1"/>
  <c r="S293" i="29" s="1"/>
  <c r="E293" i="29" s="1"/>
  <c r="I233" i="33"/>
  <c r="O233" i="33" s="1"/>
  <c r="F70" i="32"/>
  <c r="T73" i="29" s="1"/>
  <c r="F73" i="29" s="1"/>
  <c r="I296" i="33"/>
  <c r="O296" i="33" s="1"/>
  <c r="I201" i="33"/>
  <c r="I84" i="33"/>
  <c r="O84" i="33" s="1"/>
  <c r="M262" i="33"/>
  <c r="F265" i="32" s="1"/>
  <c r="T267" i="29" s="1"/>
  <c r="F267" i="29" s="1"/>
  <c r="P70" i="33"/>
  <c r="G72" i="32" s="1"/>
  <c r="U75" i="29" s="1"/>
  <c r="G75" i="29" s="1"/>
  <c r="N16" i="33"/>
  <c r="M12" i="33"/>
  <c r="O7" i="33"/>
  <c r="P60" i="33"/>
  <c r="G62" i="32" s="1"/>
  <c r="U65" i="29" s="1"/>
  <c r="G65" i="29" s="1"/>
  <c r="L207" i="33"/>
  <c r="C210" i="32" s="1"/>
  <c r="Q212" i="29" s="1"/>
  <c r="C212" i="29" s="1"/>
  <c r="L16" i="33"/>
  <c r="C18" i="32" s="1"/>
  <c r="Q21" i="29" s="1"/>
  <c r="C21" i="29" s="1"/>
  <c r="N12" i="33"/>
  <c r="N42" i="33"/>
  <c r="L7" i="33"/>
  <c r="C10" i="32" s="1"/>
  <c r="P132" i="33"/>
  <c r="G134" i="32" s="1"/>
  <c r="U137" i="29" s="1"/>
  <c r="G137" i="29" s="1"/>
  <c r="O109" i="33"/>
  <c r="N262" i="33"/>
  <c r="P262" i="33" s="1"/>
  <c r="G265" i="32" s="1"/>
  <c r="U267" i="29" s="1"/>
  <c r="G267" i="29" s="1"/>
  <c r="L50" i="33"/>
  <c r="C52" i="32" s="1"/>
  <c r="Q55" i="29" s="1"/>
  <c r="C55" i="29" s="1"/>
  <c r="M7" i="33"/>
  <c r="N69" i="33"/>
  <c r="N15" i="33"/>
  <c r="O16" i="33"/>
  <c r="M274" i="33"/>
  <c r="F277" i="32" s="1"/>
  <c r="T279" i="29" s="1"/>
  <c r="F279" i="29" s="1"/>
  <c r="L69" i="33"/>
  <c r="C71" i="32" s="1"/>
  <c r="M105" i="33"/>
  <c r="M124" i="33"/>
  <c r="N274" i="33"/>
  <c r="M69" i="33"/>
  <c r="F71" i="32" s="1"/>
  <c r="T74" i="29" s="1"/>
  <c r="F74" i="29" s="1"/>
  <c r="N105" i="33"/>
  <c r="P108" i="33"/>
  <c r="G110" i="32" s="1"/>
  <c r="U113" i="29" s="1"/>
  <c r="G113" i="29" s="1"/>
  <c r="N124" i="33"/>
  <c r="O274" i="33"/>
  <c r="O253" i="33"/>
  <c r="L276" i="33"/>
  <c r="C279" i="32" s="1"/>
  <c r="Q281" i="29" s="1"/>
  <c r="C281" i="29" s="1"/>
  <c r="P80" i="33"/>
  <c r="G82" i="32" s="1"/>
  <c r="U85" i="29" s="1"/>
  <c r="G85" i="29" s="1"/>
  <c r="P252" i="33"/>
  <c r="Q252" i="33" s="1"/>
  <c r="O124" i="33"/>
  <c r="N276" i="33"/>
  <c r="I146" i="33"/>
  <c r="O146" i="33" s="1"/>
  <c r="O15" i="33"/>
  <c r="L109" i="33"/>
  <c r="C111" i="32" s="1"/>
  <c r="Q114" i="29" s="1"/>
  <c r="C114" i="29" s="1"/>
  <c r="I181" i="33"/>
  <c r="P266" i="33"/>
  <c r="G269" i="32" s="1"/>
  <c r="U271" i="29" s="1"/>
  <c r="G271" i="29" s="1"/>
  <c r="L275" i="33"/>
  <c r="C278" i="32" s="1"/>
  <c r="Q280" i="29" s="1"/>
  <c r="C280" i="29" s="1"/>
  <c r="M276" i="33"/>
  <c r="I121" i="33"/>
  <c r="L121" i="33" s="1"/>
  <c r="M153" i="33"/>
  <c r="N153" i="33"/>
  <c r="L153" i="33"/>
  <c r="O153" i="33"/>
  <c r="I172" i="33"/>
  <c r="L172" i="33" s="1"/>
  <c r="C174" i="32" s="1"/>
  <c r="O249" i="33"/>
  <c r="P127" i="33"/>
  <c r="G129" i="32" s="1"/>
  <c r="U132" i="29" s="1"/>
  <c r="G132" i="29" s="1"/>
  <c r="Q11" i="33"/>
  <c r="M207" i="33"/>
  <c r="N249" i="33"/>
  <c r="M71" i="33"/>
  <c r="L71" i="33"/>
  <c r="N71" i="33"/>
  <c r="O71" i="33"/>
  <c r="N207" i="33"/>
  <c r="I136" i="33"/>
  <c r="I221" i="33"/>
  <c r="N221" i="33" s="1"/>
  <c r="P242" i="33"/>
  <c r="G245" i="32" s="1"/>
  <c r="U247" i="29" s="1"/>
  <c r="G247" i="29" s="1"/>
  <c r="Q156" i="33"/>
  <c r="P86" i="33"/>
  <c r="G88" i="32" s="1"/>
  <c r="U91" i="29" s="1"/>
  <c r="G91" i="29" s="1"/>
  <c r="M285" i="33"/>
  <c r="F288" i="32" s="1"/>
  <c r="T290" i="29" s="1"/>
  <c r="F290" i="29" s="1"/>
  <c r="L178" i="33"/>
  <c r="O178" i="33"/>
  <c r="N178" i="33"/>
  <c r="M178" i="33"/>
  <c r="M165" i="33"/>
  <c r="N165" i="33"/>
  <c r="L165" i="33"/>
  <c r="O165" i="33"/>
  <c r="I77" i="33"/>
  <c r="N77" i="33" s="1"/>
  <c r="P94" i="33"/>
  <c r="G96" i="32" s="1"/>
  <c r="U99" i="29" s="1"/>
  <c r="G99" i="29" s="1"/>
  <c r="O45" i="33"/>
  <c r="L45" i="33"/>
  <c r="M45" i="33"/>
  <c r="N45" i="33"/>
  <c r="L131" i="33"/>
  <c r="M131" i="33"/>
  <c r="O131" i="33"/>
  <c r="N131" i="33"/>
  <c r="N14" i="33"/>
  <c r="P182" i="33"/>
  <c r="G184" i="32" s="1"/>
  <c r="U187" i="29" s="1"/>
  <c r="G187" i="29" s="1"/>
  <c r="O14" i="33"/>
  <c r="O28" i="33"/>
  <c r="N28" i="33"/>
  <c r="M28" i="33"/>
  <c r="L28" i="33"/>
  <c r="I110" i="33"/>
  <c r="L110" i="33" s="1"/>
  <c r="C112" i="32" s="1"/>
  <c r="P301" i="33"/>
  <c r="G308" i="32" s="1"/>
  <c r="U306" i="29" s="1"/>
  <c r="G306" i="29" s="1"/>
  <c r="L14" i="33"/>
  <c r="C16" i="32" s="1"/>
  <c r="I73" i="33"/>
  <c r="N73" i="33" s="1"/>
  <c r="I22" i="33"/>
  <c r="I217" i="33"/>
  <c r="L217" i="33" s="1"/>
  <c r="C220" i="32" s="1"/>
  <c r="I134" i="33"/>
  <c r="L134" i="33" s="1"/>
  <c r="I23" i="33"/>
  <c r="L23" i="33" s="1"/>
  <c r="I123" i="33"/>
  <c r="Q60" i="33"/>
  <c r="I34" i="33"/>
  <c r="I115" i="33"/>
  <c r="Q44" i="33"/>
  <c r="M253" i="33"/>
  <c r="M104" i="33"/>
  <c r="L104" i="33"/>
  <c r="C106" i="32" s="1"/>
  <c r="O104" i="33"/>
  <c r="N104" i="33"/>
  <c r="M278" i="33"/>
  <c r="O278" i="33"/>
  <c r="N278" i="33"/>
  <c r="L278" i="33"/>
  <c r="M56" i="33"/>
  <c r="L56" i="33"/>
  <c r="O56" i="33"/>
  <c r="N56" i="33"/>
  <c r="L190" i="33"/>
  <c r="O190" i="33"/>
  <c r="M190" i="33"/>
  <c r="N190" i="33"/>
  <c r="P197" i="33"/>
  <c r="G200" i="32" s="1"/>
  <c r="U202" i="29" s="1"/>
  <c r="G202" i="29" s="1"/>
  <c r="P200" i="33"/>
  <c r="G203" i="32" s="1"/>
  <c r="U205" i="29" s="1"/>
  <c r="G205" i="29" s="1"/>
  <c r="O105" i="33"/>
  <c r="I214" i="33"/>
  <c r="O214" i="33" s="1"/>
  <c r="N253" i="33"/>
  <c r="O229" i="33"/>
  <c r="M229" i="33"/>
  <c r="L229" i="33"/>
  <c r="N229" i="33"/>
  <c r="M9" i="33"/>
  <c r="L9" i="33"/>
  <c r="O9" i="33"/>
  <c r="N9" i="33"/>
  <c r="L117" i="33"/>
  <c r="O117" i="33"/>
  <c r="N117" i="33"/>
  <c r="M117" i="33"/>
  <c r="P173" i="33"/>
  <c r="G175" i="32" s="1"/>
  <c r="U178" i="29" s="1"/>
  <c r="G178" i="29" s="1"/>
  <c r="P161" i="33"/>
  <c r="G164" i="32" s="1"/>
  <c r="U167" i="29" s="1"/>
  <c r="G167" i="29" s="1"/>
  <c r="P125" i="33"/>
  <c r="G127" i="32" s="1"/>
  <c r="U130" i="29" s="1"/>
  <c r="G130" i="29" s="1"/>
  <c r="I35" i="33"/>
  <c r="M35" i="33" s="1"/>
  <c r="L206" i="33"/>
  <c r="N206" i="33"/>
  <c r="O206" i="33"/>
  <c r="M206" i="33"/>
  <c r="M272" i="33"/>
  <c r="L272" i="33"/>
  <c r="O272" i="33"/>
  <c r="N272" i="33"/>
  <c r="I96" i="33"/>
  <c r="I163" i="33"/>
  <c r="D43" i="32"/>
  <c r="F43" i="32"/>
  <c r="T46" i="29" s="1"/>
  <c r="F46" i="29" s="1"/>
  <c r="E43" i="32"/>
  <c r="S46" i="29" s="1"/>
  <c r="E46" i="29" s="1"/>
  <c r="Q133" i="33"/>
  <c r="Q255" i="33"/>
  <c r="O263" i="33"/>
  <c r="N263" i="33"/>
  <c r="M263" i="33"/>
  <c r="L263" i="33"/>
  <c r="O220" i="33"/>
  <c r="M220" i="33"/>
  <c r="L220" i="33"/>
  <c r="C223" i="32" s="1"/>
  <c r="Q225" i="29" s="1"/>
  <c r="C225" i="29" s="1"/>
  <c r="N220" i="33"/>
  <c r="I36" i="33"/>
  <c r="M36" i="33" s="1"/>
  <c r="I53" i="33"/>
  <c r="I62" i="33"/>
  <c r="L62" i="33" s="1"/>
  <c r="C64" i="32" s="1"/>
  <c r="O92" i="33"/>
  <c r="N92" i="33"/>
  <c r="M92" i="33"/>
  <c r="L92" i="33"/>
  <c r="C94" i="32" s="1"/>
  <c r="F82" i="32"/>
  <c r="T85" i="29" s="1"/>
  <c r="F85" i="29" s="1"/>
  <c r="E82" i="32"/>
  <c r="S85" i="29" s="1"/>
  <c r="E85" i="29" s="1"/>
  <c r="D82" i="32"/>
  <c r="R85" i="29" s="1"/>
  <c r="D85" i="29" s="1"/>
  <c r="F62" i="32"/>
  <c r="T65" i="29" s="1"/>
  <c r="F65" i="29" s="1"/>
  <c r="E62" i="32"/>
  <c r="S65" i="29" s="1"/>
  <c r="E65" i="29" s="1"/>
  <c r="D62" i="32"/>
  <c r="I215" i="33"/>
  <c r="I157" i="33"/>
  <c r="N157" i="33" s="1"/>
  <c r="I31" i="33"/>
  <c r="M31" i="33" s="1"/>
  <c r="N84" i="33"/>
  <c r="M84" i="33"/>
  <c r="L84" i="33"/>
  <c r="C86" i="32" s="1"/>
  <c r="O172" i="33"/>
  <c r="M172" i="33"/>
  <c r="N172" i="33"/>
  <c r="AC14" i="32"/>
  <c r="AG14" i="32" s="1"/>
  <c r="M256" i="33"/>
  <c r="L256" i="33"/>
  <c r="N256" i="33"/>
  <c r="O256" i="33"/>
  <c r="C110" i="32"/>
  <c r="I140" i="33"/>
  <c r="I85" i="33"/>
  <c r="F110" i="32"/>
  <c r="T113" i="29" s="1"/>
  <c r="F113" i="29" s="1"/>
  <c r="E110" i="32"/>
  <c r="S113" i="29" s="1"/>
  <c r="E113" i="29" s="1"/>
  <c r="D110" i="32"/>
  <c r="R113" i="29" s="1"/>
  <c r="D113" i="29" s="1"/>
  <c r="C74" i="32"/>
  <c r="P72" i="33"/>
  <c r="G74" i="32" s="1"/>
  <c r="U77" i="29" s="1"/>
  <c r="G77" i="29" s="1"/>
  <c r="I147" i="33"/>
  <c r="L147" i="33" s="1"/>
  <c r="C150" i="32" s="1"/>
  <c r="AC23" i="32"/>
  <c r="N184" i="33"/>
  <c r="O184" i="33"/>
  <c r="M184" i="33"/>
  <c r="L184" i="33"/>
  <c r="M129" i="33"/>
  <c r="L129" i="33"/>
  <c r="O129" i="33"/>
  <c r="N129" i="33"/>
  <c r="E74" i="32"/>
  <c r="S77" i="29" s="1"/>
  <c r="E77" i="29" s="1"/>
  <c r="D74" i="32"/>
  <c r="R77" i="29" s="1"/>
  <c r="D77" i="29" s="1"/>
  <c r="F74" i="32"/>
  <c r="T77" i="29" s="1"/>
  <c r="F77" i="29" s="1"/>
  <c r="AD23" i="32"/>
  <c r="L26" i="28" s="1"/>
  <c r="M26" i="28" s="1"/>
  <c r="N296" i="33"/>
  <c r="M296" i="33"/>
  <c r="D124" i="32"/>
  <c r="R127" i="29" s="1"/>
  <c r="D127" i="29" s="1"/>
  <c r="F124" i="32"/>
  <c r="T127" i="29" s="1"/>
  <c r="F127" i="29" s="1"/>
  <c r="E124" i="32"/>
  <c r="S127" i="29" s="1"/>
  <c r="E127" i="29" s="1"/>
  <c r="N106" i="33"/>
  <c r="M106" i="33"/>
  <c r="L106" i="33"/>
  <c r="O106" i="33"/>
  <c r="P273" i="33"/>
  <c r="G276" i="32" s="1"/>
  <c r="U278" i="29" s="1"/>
  <c r="G278" i="29" s="1"/>
  <c r="P6" i="33"/>
  <c r="G9" i="32" s="1"/>
  <c r="U11" i="29" s="1"/>
  <c r="G11" i="29" s="1"/>
  <c r="P279" i="33"/>
  <c r="G282" i="32" s="1"/>
  <c r="U284" i="29" s="1"/>
  <c r="G284" i="29" s="1"/>
  <c r="I189" i="33"/>
  <c r="I248" i="33"/>
  <c r="I37" i="33"/>
  <c r="L37" i="33" s="1"/>
  <c r="C39" i="32" s="1"/>
  <c r="Q120" i="33"/>
  <c r="P41" i="33"/>
  <c r="G43" i="32" s="1"/>
  <c r="U46" i="29" s="1"/>
  <c r="G46" i="29" s="1"/>
  <c r="O46" i="33"/>
  <c r="N46" i="33"/>
  <c r="M46" i="33"/>
  <c r="L46" i="33"/>
  <c r="C48" i="32" s="1"/>
  <c r="O141" i="33"/>
  <c r="N141" i="33"/>
  <c r="M141" i="33"/>
  <c r="L141" i="33"/>
  <c r="D197" i="32"/>
  <c r="R199" i="29" s="1"/>
  <c r="D199" i="29" s="1"/>
  <c r="E197" i="32"/>
  <c r="S199" i="29" s="1"/>
  <c r="E199" i="29" s="1"/>
  <c r="F197" i="32"/>
  <c r="T199" i="29" s="1"/>
  <c r="F199" i="29" s="1"/>
  <c r="Q243" i="29"/>
  <c r="C243" i="29" s="1"/>
  <c r="E216" i="32"/>
  <c r="S218" i="29" s="1"/>
  <c r="E218" i="29" s="1"/>
  <c r="D216" i="32"/>
  <c r="R218" i="29" s="1"/>
  <c r="D218" i="29" s="1"/>
  <c r="F216" i="32"/>
  <c r="T218" i="29" s="1"/>
  <c r="F218" i="29" s="1"/>
  <c r="N158" i="33"/>
  <c r="M158" i="33"/>
  <c r="L158" i="33"/>
  <c r="C160" i="32" s="1"/>
  <c r="O158" i="33"/>
  <c r="O151" i="33"/>
  <c r="N151" i="33"/>
  <c r="M151" i="33"/>
  <c r="L151" i="33"/>
  <c r="C154" i="32" s="1"/>
  <c r="O20" i="33"/>
  <c r="N20" i="33"/>
  <c r="M20" i="33"/>
  <c r="L20" i="33"/>
  <c r="C22" i="32" s="1"/>
  <c r="P205" i="33"/>
  <c r="G207" i="32" s="1"/>
  <c r="U210" i="29" s="1"/>
  <c r="G210" i="29" s="1"/>
  <c r="P171" i="33"/>
  <c r="G173" i="32" s="1"/>
  <c r="U176" i="29" s="1"/>
  <c r="G176" i="29" s="1"/>
  <c r="P298" i="33"/>
  <c r="G301" i="32" s="1"/>
  <c r="U303" i="29" s="1"/>
  <c r="G303" i="29" s="1"/>
  <c r="N97" i="33"/>
  <c r="M97" i="33"/>
  <c r="L97" i="33"/>
  <c r="C99" i="32" s="1"/>
  <c r="O97" i="33"/>
  <c r="P299" i="33"/>
  <c r="G302" i="32" s="1"/>
  <c r="U304" i="29" s="1"/>
  <c r="G304" i="29" s="1"/>
  <c r="AC246" i="32"/>
  <c r="E60" i="32"/>
  <c r="S63" i="29" s="1"/>
  <c r="E63" i="29" s="1"/>
  <c r="F60" i="32"/>
  <c r="T63" i="29" s="1"/>
  <c r="F63" i="29" s="1"/>
  <c r="D60" i="32"/>
  <c r="R63" i="29" s="1"/>
  <c r="D63" i="29" s="1"/>
  <c r="D253" i="32"/>
  <c r="R255" i="29" s="1"/>
  <c r="D255" i="29" s="1"/>
  <c r="F253" i="32"/>
  <c r="T255" i="29" s="1"/>
  <c r="F255" i="29" s="1"/>
  <c r="E253" i="32"/>
  <c r="S255" i="29" s="1"/>
  <c r="E255" i="29" s="1"/>
  <c r="Q94" i="33"/>
  <c r="L63" i="33"/>
  <c r="C65" i="32" s="1"/>
  <c r="M63" i="33"/>
  <c r="O63" i="33"/>
  <c r="N63" i="33"/>
  <c r="O32" i="33"/>
  <c r="N32" i="33"/>
  <c r="L32" i="33"/>
  <c r="C34" i="32" s="1"/>
  <c r="M32" i="33"/>
  <c r="I74" i="33"/>
  <c r="F269" i="32"/>
  <c r="T271" i="29" s="1"/>
  <c r="F271" i="29" s="1"/>
  <c r="E269" i="32"/>
  <c r="S271" i="29" s="1"/>
  <c r="E271" i="29" s="1"/>
  <c r="D269" i="32"/>
  <c r="R271" i="29" s="1"/>
  <c r="D271" i="29" s="1"/>
  <c r="AD246" i="32"/>
  <c r="L248" i="28" s="1"/>
  <c r="M248" i="28" s="1"/>
  <c r="Q267" i="29"/>
  <c r="C267" i="29" s="1"/>
  <c r="F100" i="32"/>
  <c r="T103" i="29" s="1"/>
  <c r="F103" i="29" s="1"/>
  <c r="E100" i="32"/>
  <c r="S103" i="29" s="1"/>
  <c r="E103" i="29" s="1"/>
  <c r="D100" i="32"/>
  <c r="R103" i="29" s="1"/>
  <c r="D103" i="29" s="1"/>
  <c r="Q18" i="29"/>
  <c r="C18" i="29" s="1"/>
  <c r="Q47" i="29"/>
  <c r="C47" i="29" s="1"/>
  <c r="M113" i="33"/>
  <c r="L113" i="33"/>
  <c r="C115" i="32" s="1"/>
  <c r="O113" i="33"/>
  <c r="N113" i="33"/>
  <c r="L87" i="33"/>
  <c r="C89" i="32" s="1"/>
  <c r="O87" i="33"/>
  <c r="N87" i="33"/>
  <c r="M87" i="33"/>
  <c r="Q279" i="33"/>
  <c r="Q150" i="29"/>
  <c r="C150" i="29" s="1"/>
  <c r="O277" i="33"/>
  <c r="N277" i="33"/>
  <c r="M277" i="33"/>
  <c r="L277" i="33"/>
  <c r="C280" i="32" s="1"/>
  <c r="X322" i="29"/>
  <c r="W322" i="29"/>
  <c r="E215" i="32"/>
  <c r="S217" i="29" s="1"/>
  <c r="E217" i="29" s="1"/>
  <c r="D215" i="32"/>
  <c r="R217" i="29" s="1"/>
  <c r="D217" i="29" s="1"/>
  <c r="F215" i="32"/>
  <c r="T217" i="29" s="1"/>
  <c r="F217" i="29" s="1"/>
  <c r="AC270" i="32"/>
  <c r="Q290" i="29"/>
  <c r="C290" i="29" s="1"/>
  <c r="O226" i="33"/>
  <c r="N226" i="33"/>
  <c r="M226" i="33"/>
  <c r="L226" i="33"/>
  <c r="C229" i="32" s="1"/>
  <c r="D84" i="32"/>
  <c r="R87" i="29" s="1"/>
  <c r="D87" i="29" s="1"/>
  <c r="F84" i="32"/>
  <c r="T87" i="29" s="1"/>
  <c r="F87" i="29" s="1"/>
  <c r="D302" i="32"/>
  <c r="R304" i="29" s="1"/>
  <c r="D304" i="29" s="1"/>
  <c r="F302" i="32"/>
  <c r="T304" i="29" s="1"/>
  <c r="F304" i="29" s="1"/>
  <c r="E302" i="32"/>
  <c r="S304" i="29" s="1"/>
  <c r="E304" i="29" s="1"/>
  <c r="I192" i="33"/>
  <c r="L208" i="33"/>
  <c r="C211" i="32" s="1"/>
  <c r="O208" i="33"/>
  <c r="N208" i="33"/>
  <c r="M208" i="33"/>
  <c r="F206" i="32"/>
  <c r="T209" i="29" s="1"/>
  <c r="F209" i="29" s="1"/>
  <c r="E206" i="32"/>
  <c r="S209" i="29" s="1"/>
  <c r="E209" i="29" s="1"/>
  <c r="D206" i="32"/>
  <c r="R209" i="29" s="1"/>
  <c r="D209" i="29" s="1"/>
  <c r="P212" i="33"/>
  <c r="G215" i="32" s="1"/>
  <c r="U217" i="29" s="1"/>
  <c r="G217" i="29" s="1"/>
  <c r="P149" i="33"/>
  <c r="G152" i="32" s="1"/>
  <c r="U154" i="29" s="1"/>
  <c r="G154" i="29" s="1"/>
  <c r="Q287" i="29"/>
  <c r="C287" i="29" s="1"/>
  <c r="M38" i="33"/>
  <c r="L38" i="33"/>
  <c r="C40" i="32" s="1"/>
  <c r="N38" i="33"/>
  <c r="O38" i="33"/>
  <c r="O281" i="33"/>
  <c r="N281" i="33"/>
  <c r="M281" i="33"/>
  <c r="L281" i="33"/>
  <c r="C284" i="32" s="1"/>
  <c r="Q269" i="29"/>
  <c r="C269" i="29" s="1"/>
  <c r="O232" i="33"/>
  <c r="N232" i="33"/>
  <c r="M232" i="33"/>
  <c r="L232" i="33"/>
  <c r="C235" i="32" s="1"/>
  <c r="L286" i="33"/>
  <c r="C289" i="32" s="1"/>
  <c r="O286" i="33"/>
  <c r="N286" i="33"/>
  <c r="M286" i="33"/>
  <c r="I261" i="33"/>
  <c r="P65" i="33"/>
  <c r="G67" i="32" s="1"/>
  <c r="U70" i="29" s="1"/>
  <c r="G70" i="29" s="1"/>
  <c r="I246" i="33"/>
  <c r="Q130" i="29"/>
  <c r="C130" i="29" s="1"/>
  <c r="I177" i="33"/>
  <c r="Q127" i="33"/>
  <c r="O210" i="33"/>
  <c r="M210" i="33"/>
  <c r="L210" i="33"/>
  <c r="C213" i="32" s="1"/>
  <c r="N210" i="33"/>
  <c r="Q13" i="29"/>
  <c r="C13" i="29" s="1"/>
  <c r="O17" i="33"/>
  <c r="N17" i="33"/>
  <c r="L17" i="33"/>
  <c r="C19" i="32" s="1"/>
  <c r="M17" i="33"/>
  <c r="M176" i="33"/>
  <c r="L176" i="33"/>
  <c r="C178" i="32" s="1"/>
  <c r="N176" i="33"/>
  <c r="O176" i="33"/>
  <c r="X318" i="29"/>
  <c r="W318" i="29"/>
  <c r="O303" i="33"/>
  <c r="N303" i="33"/>
  <c r="M303" i="33"/>
  <c r="L303" i="33"/>
  <c r="C305" i="32" s="1"/>
  <c r="O183" i="33"/>
  <c r="N183" i="33"/>
  <c r="M183" i="33"/>
  <c r="L183" i="33"/>
  <c r="C185" i="32" s="1"/>
  <c r="Q30" i="29"/>
  <c r="C30" i="29" s="1"/>
  <c r="I269" i="33"/>
  <c r="P42" i="33"/>
  <c r="G44" i="32" s="1"/>
  <c r="U47" i="29" s="1"/>
  <c r="G47" i="29" s="1"/>
  <c r="I258" i="33"/>
  <c r="E308" i="32"/>
  <c r="S306" i="29" s="1"/>
  <c r="E306" i="29" s="1"/>
  <c r="D308" i="32"/>
  <c r="R306" i="29" s="1"/>
  <c r="D306" i="29" s="1"/>
  <c r="F308" i="32"/>
  <c r="T306" i="29" s="1"/>
  <c r="F306" i="29" s="1"/>
  <c r="AD92" i="32"/>
  <c r="L95" i="28" s="1"/>
  <c r="M95" i="28" s="1"/>
  <c r="AC92" i="32"/>
  <c r="Q95" i="29"/>
  <c r="C95" i="29" s="1"/>
  <c r="M188" i="33"/>
  <c r="L188" i="33"/>
  <c r="C190" i="32" s="1"/>
  <c r="N188" i="33"/>
  <c r="O188" i="33"/>
  <c r="F312" i="32"/>
  <c r="T314" i="29" s="1"/>
  <c r="F314" i="29" s="1"/>
  <c r="E312" i="32"/>
  <c r="S314" i="29" s="1"/>
  <c r="E314" i="29" s="1"/>
  <c r="D312" i="32"/>
  <c r="R314" i="29" s="1"/>
  <c r="D314" i="29" s="1"/>
  <c r="F152" i="32"/>
  <c r="T154" i="29" s="1"/>
  <c r="F154" i="29" s="1"/>
  <c r="E152" i="32"/>
  <c r="S154" i="29" s="1"/>
  <c r="E154" i="29" s="1"/>
  <c r="D152" i="32"/>
  <c r="R154" i="29" s="1"/>
  <c r="D154" i="29" s="1"/>
  <c r="M26" i="33"/>
  <c r="L26" i="33"/>
  <c r="C28" i="32" s="1"/>
  <c r="N26" i="33"/>
  <c r="O26" i="33"/>
  <c r="AD49" i="32"/>
  <c r="L52" i="28" s="1"/>
  <c r="M52" i="28" s="1"/>
  <c r="I48" i="33"/>
  <c r="P253" i="33"/>
  <c r="G256" i="32" s="1"/>
  <c r="U258" i="29" s="1"/>
  <c r="G258" i="29" s="1"/>
  <c r="O128" i="33"/>
  <c r="N128" i="33"/>
  <c r="M128" i="33"/>
  <c r="L128" i="33"/>
  <c r="C130" i="32" s="1"/>
  <c r="O251" i="33"/>
  <c r="N251" i="33"/>
  <c r="M251" i="33"/>
  <c r="L251" i="33"/>
  <c r="C254" i="32" s="1"/>
  <c r="Q75" i="29"/>
  <c r="C75" i="29" s="1"/>
  <c r="M144" i="33"/>
  <c r="O144" i="33"/>
  <c r="N144" i="33"/>
  <c r="L144" i="33"/>
  <c r="C147" i="32" s="1"/>
  <c r="M260" i="33"/>
  <c r="L260" i="33"/>
  <c r="C263" i="32" s="1"/>
  <c r="O260" i="33"/>
  <c r="N260" i="33"/>
  <c r="O211" i="33"/>
  <c r="L211" i="33"/>
  <c r="C214" i="32" s="1"/>
  <c r="N211" i="33"/>
  <c r="M211" i="33"/>
  <c r="P264" i="33"/>
  <c r="G267" i="32" s="1"/>
  <c r="U269" i="29" s="1"/>
  <c r="G269" i="29" s="1"/>
  <c r="I280" i="33"/>
  <c r="N31" i="33"/>
  <c r="I89" i="33"/>
  <c r="Q178" i="29"/>
  <c r="C178" i="29" s="1"/>
  <c r="I191" i="33"/>
  <c r="P185" i="33"/>
  <c r="F59" i="32"/>
  <c r="T62" i="29" s="1"/>
  <c r="F62" i="29" s="1"/>
  <c r="E59" i="32"/>
  <c r="S62" i="29" s="1"/>
  <c r="E62" i="29" s="1"/>
  <c r="D59" i="32"/>
  <c r="R62" i="29" s="1"/>
  <c r="D62" i="29" s="1"/>
  <c r="I257" i="33"/>
  <c r="Q278" i="29"/>
  <c r="C278" i="29" s="1"/>
  <c r="Q90" i="33"/>
  <c r="Q247" i="29"/>
  <c r="C247" i="29" s="1"/>
  <c r="Q205" i="29"/>
  <c r="C205" i="29" s="1"/>
  <c r="AD46" i="32"/>
  <c r="L49" i="28" s="1"/>
  <c r="M49" i="28" s="1"/>
  <c r="AC46" i="32"/>
  <c r="Q49" i="29"/>
  <c r="C49" i="29" s="1"/>
  <c r="Q91" i="29"/>
  <c r="C91" i="29" s="1"/>
  <c r="P271" i="33"/>
  <c r="Q20" i="29"/>
  <c r="C20" i="29" s="1"/>
  <c r="I111" i="33"/>
  <c r="O93" i="33"/>
  <c r="M93" i="33"/>
  <c r="L93" i="33"/>
  <c r="C95" i="32" s="1"/>
  <c r="N93" i="33"/>
  <c r="Q129" i="29"/>
  <c r="C129" i="29" s="1"/>
  <c r="E72" i="32"/>
  <c r="S75" i="29" s="1"/>
  <c r="E75" i="29" s="1"/>
  <c r="F72" i="32"/>
  <c r="T75" i="29" s="1"/>
  <c r="F75" i="29" s="1"/>
  <c r="D72" i="32"/>
  <c r="R75" i="29" s="1"/>
  <c r="D75" i="29" s="1"/>
  <c r="F96" i="32"/>
  <c r="T99" i="29" s="1"/>
  <c r="F99" i="29" s="1"/>
  <c r="E96" i="32"/>
  <c r="S99" i="29" s="1"/>
  <c r="E99" i="29" s="1"/>
  <c r="D96" i="32"/>
  <c r="R99" i="29" s="1"/>
  <c r="D99" i="29" s="1"/>
  <c r="P61" i="33"/>
  <c r="G63" i="32" s="1"/>
  <c r="U66" i="29" s="1"/>
  <c r="G66" i="29" s="1"/>
  <c r="N170" i="33"/>
  <c r="O170" i="33"/>
  <c r="M170" i="33"/>
  <c r="L170" i="33"/>
  <c r="C172" i="32" s="1"/>
  <c r="O222" i="33"/>
  <c r="N222" i="33"/>
  <c r="L222" i="33"/>
  <c r="C225" i="32" s="1"/>
  <c r="M222" i="33"/>
  <c r="M241" i="33"/>
  <c r="L241" i="33"/>
  <c r="C244" i="32" s="1"/>
  <c r="N241" i="33"/>
  <c r="O241" i="33"/>
  <c r="I228" i="33"/>
  <c r="O130" i="33"/>
  <c r="L130" i="33"/>
  <c r="C132" i="32" s="1"/>
  <c r="N130" i="33"/>
  <c r="M130" i="33"/>
  <c r="Q288" i="29"/>
  <c r="C288" i="29" s="1"/>
  <c r="I203" i="33"/>
  <c r="M236" i="33"/>
  <c r="L236" i="33"/>
  <c r="C239" i="32" s="1"/>
  <c r="O236" i="33"/>
  <c r="N236" i="33"/>
  <c r="E237" i="32"/>
  <c r="S239" i="29" s="1"/>
  <c r="E239" i="29" s="1"/>
  <c r="D237" i="32"/>
  <c r="R239" i="29" s="1"/>
  <c r="D239" i="29" s="1"/>
  <c r="F237" i="32"/>
  <c r="T239" i="29" s="1"/>
  <c r="F239" i="29" s="1"/>
  <c r="O67" i="33"/>
  <c r="N67" i="33"/>
  <c r="M67" i="33"/>
  <c r="L67" i="33"/>
  <c r="C69" i="32" s="1"/>
  <c r="O116" i="33"/>
  <c r="N116" i="33"/>
  <c r="M116" i="33"/>
  <c r="L116" i="33"/>
  <c r="C118" i="32" s="1"/>
  <c r="Q63" i="29"/>
  <c r="C63" i="29" s="1"/>
  <c r="N138" i="33"/>
  <c r="M138" i="33"/>
  <c r="L138" i="33"/>
  <c r="C141" i="32" s="1"/>
  <c r="O138" i="33"/>
  <c r="L143" i="33"/>
  <c r="C146" i="32" s="1"/>
  <c r="O143" i="33"/>
  <c r="N143" i="33"/>
  <c r="M143" i="33"/>
  <c r="F63" i="32"/>
  <c r="T66" i="29" s="1"/>
  <c r="F66" i="29" s="1"/>
  <c r="E63" i="32"/>
  <c r="S66" i="29" s="1"/>
  <c r="E66" i="29" s="1"/>
  <c r="D63" i="32"/>
  <c r="R66" i="29" s="1"/>
  <c r="D66" i="29" s="1"/>
  <c r="Q239" i="29"/>
  <c r="C239" i="29" s="1"/>
  <c r="F27" i="32"/>
  <c r="T30" i="29" s="1"/>
  <c r="F30" i="29" s="1"/>
  <c r="E27" i="32"/>
  <c r="S30" i="29" s="1"/>
  <c r="E30" i="29" s="1"/>
  <c r="D27" i="32"/>
  <c r="R30" i="29" s="1"/>
  <c r="D30" i="29" s="1"/>
  <c r="Q19" i="29"/>
  <c r="C19" i="29" s="1"/>
  <c r="P238" i="33"/>
  <c r="G241" i="32" s="1"/>
  <c r="U243" i="29" s="1"/>
  <c r="G243" i="29" s="1"/>
  <c r="Q103" i="29"/>
  <c r="C103" i="29" s="1"/>
  <c r="M137" i="33"/>
  <c r="L137" i="33"/>
  <c r="C140" i="32" s="1"/>
  <c r="O137" i="33"/>
  <c r="N137" i="33"/>
  <c r="F68" i="32"/>
  <c r="T71" i="29" s="1"/>
  <c r="F71" i="29" s="1"/>
  <c r="E68" i="32"/>
  <c r="S71" i="29" s="1"/>
  <c r="E71" i="29" s="1"/>
  <c r="D68" i="32"/>
  <c r="R71" i="29" s="1"/>
  <c r="D71" i="29" s="1"/>
  <c r="F208" i="32"/>
  <c r="T207" i="29" s="1"/>
  <c r="F207" i="29" s="1"/>
  <c r="E208" i="32"/>
  <c r="S207" i="29" s="1"/>
  <c r="E207" i="29" s="1"/>
  <c r="D208" i="32"/>
  <c r="R207" i="29" s="1"/>
  <c r="D207" i="29" s="1"/>
  <c r="P283" i="33"/>
  <c r="G286" i="32" s="1"/>
  <c r="U288" i="29" s="1"/>
  <c r="G288" i="29" s="1"/>
  <c r="Q185" i="29"/>
  <c r="C185" i="29" s="1"/>
  <c r="P194" i="33"/>
  <c r="G197" i="32" s="1"/>
  <c r="U199" i="29" s="1"/>
  <c r="G199" i="29" s="1"/>
  <c r="F309" i="32"/>
  <c r="T311" i="29" s="1"/>
  <c r="F311" i="29" s="1"/>
  <c r="E309" i="32"/>
  <c r="S311" i="29" s="1"/>
  <c r="E311" i="29" s="1"/>
  <c r="D309" i="32"/>
  <c r="R311" i="29" s="1"/>
  <c r="D311" i="29" s="1"/>
  <c r="I118" i="33"/>
  <c r="Q279" i="29"/>
  <c r="C279" i="29" s="1"/>
  <c r="I304" i="33"/>
  <c r="Q303" i="29"/>
  <c r="C303" i="29" s="1"/>
  <c r="Q304" i="29"/>
  <c r="C304" i="29" s="1"/>
  <c r="O81" i="33"/>
  <c r="M81" i="33"/>
  <c r="L81" i="33"/>
  <c r="C83" i="32" s="1"/>
  <c r="N81" i="33"/>
  <c r="P98" i="33"/>
  <c r="G100" i="32" s="1"/>
  <c r="U103" i="29" s="1"/>
  <c r="G103" i="29" s="1"/>
  <c r="F44" i="32"/>
  <c r="T47" i="29" s="1"/>
  <c r="F47" i="29" s="1"/>
  <c r="E44" i="32"/>
  <c r="S47" i="29" s="1"/>
  <c r="E47" i="29" s="1"/>
  <c r="D44" i="32"/>
  <c r="R47" i="29" s="1"/>
  <c r="D47" i="29" s="1"/>
  <c r="L19" i="33"/>
  <c r="C21" i="32" s="1"/>
  <c r="M19" i="33"/>
  <c r="O19" i="33"/>
  <c r="N19" i="33"/>
  <c r="G61" i="32"/>
  <c r="U64" i="29" s="1"/>
  <c r="G64" i="29" s="1"/>
  <c r="Q59" i="33"/>
  <c r="N217" i="33"/>
  <c r="M217" i="33"/>
  <c r="O227" i="33"/>
  <c r="N227" i="33"/>
  <c r="L227" i="33"/>
  <c r="C230" i="32" s="1"/>
  <c r="M227" i="33"/>
  <c r="Q74" i="29"/>
  <c r="C74" i="29" s="1"/>
  <c r="O29" i="33"/>
  <c r="N29" i="33"/>
  <c r="M29" i="33"/>
  <c r="L29" i="33"/>
  <c r="C31" i="32" s="1"/>
  <c r="N101" i="33"/>
  <c r="M101" i="33"/>
  <c r="L101" i="33"/>
  <c r="C103" i="32" s="1"/>
  <c r="O101" i="33"/>
  <c r="L99" i="33"/>
  <c r="C101" i="32" s="1"/>
  <c r="O99" i="33"/>
  <c r="N99" i="33"/>
  <c r="M99" i="33"/>
  <c r="AC258" i="32"/>
  <c r="Q111" i="29"/>
  <c r="C111" i="29" s="1"/>
  <c r="AD270" i="32"/>
  <c r="L272" i="28" s="1"/>
  <c r="M272" i="28" s="1"/>
  <c r="O295" i="33"/>
  <c r="N295" i="33"/>
  <c r="M295" i="33"/>
  <c r="L295" i="33"/>
  <c r="C298" i="32" s="1"/>
  <c r="E285" i="32"/>
  <c r="S287" i="29" s="1"/>
  <c r="E287" i="29" s="1"/>
  <c r="O139" i="33"/>
  <c r="N139" i="33"/>
  <c r="M139" i="33"/>
  <c r="L139" i="33"/>
  <c r="C142" i="32" s="1"/>
  <c r="L175" i="33"/>
  <c r="C177" i="32" s="1"/>
  <c r="O175" i="33"/>
  <c r="N175" i="33"/>
  <c r="M175" i="33"/>
  <c r="AC158" i="32"/>
  <c r="E107" i="32"/>
  <c r="S111" i="29" s="1"/>
  <c r="E111" i="29" s="1"/>
  <c r="D107" i="32"/>
  <c r="R111" i="29" s="1"/>
  <c r="D111" i="29" s="1"/>
  <c r="F107" i="32"/>
  <c r="T111" i="29" s="1"/>
  <c r="F111" i="29" s="1"/>
  <c r="L75" i="33"/>
  <c r="C77" i="32" s="1"/>
  <c r="N75" i="33"/>
  <c r="M75" i="33"/>
  <c r="O75" i="33"/>
  <c r="E267" i="32"/>
  <c r="S269" i="29" s="1"/>
  <c r="E269" i="29" s="1"/>
  <c r="D267" i="32"/>
  <c r="R269" i="29" s="1"/>
  <c r="D269" i="29" s="1"/>
  <c r="F267" i="32"/>
  <c r="T269" i="29" s="1"/>
  <c r="F269" i="29" s="1"/>
  <c r="L233" i="33"/>
  <c r="C236" i="32" s="1"/>
  <c r="F256" i="32"/>
  <c r="T258" i="29" s="1"/>
  <c r="F258" i="29" s="1"/>
  <c r="E256" i="32"/>
  <c r="S258" i="29" s="1"/>
  <c r="E258" i="29" s="1"/>
  <c r="D256" i="32"/>
  <c r="R258" i="29" s="1"/>
  <c r="D258" i="29" s="1"/>
  <c r="O119" i="33"/>
  <c r="N119" i="33"/>
  <c r="M119" i="33"/>
  <c r="L119" i="33"/>
  <c r="C121" i="32" s="1"/>
  <c r="N114" i="33"/>
  <c r="M114" i="33"/>
  <c r="L114" i="33"/>
  <c r="C116" i="32" s="1"/>
  <c r="O114" i="33"/>
  <c r="O265" i="33"/>
  <c r="L265" i="33"/>
  <c r="C268" i="32" s="1"/>
  <c r="N265" i="33"/>
  <c r="M265" i="33"/>
  <c r="M100" i="33"/>
  <c r="L100" i="33"/>
  <c r="C102" i="32" s="1"/>
  <c r="O100" i="33"/>
  <c r="N100" i="33"/>
  <c r="Q87" i="29"/>
  <c r="C87" i="29" s="1"/>
  <c r="Q271" i="29"/>
  <c r="C271" i="29" s="1"/>
  <c r="P145" i="33"/>
  <c r="I152" i="33"/>
  <c r="L247" i="33"/>
  <c r="C250" i="32" s="1"/>
  <c r="O247" i="33"/>
  <c r="N247" i="33"/>
  <c r="M247" i="33"/>
  <c r="F127" i="32"/>
  <c r="T130" i="29" s="1"/>
  <c r="F130" i="29" s="1"/>
  <c r="E127" i="32"/>
  <c r="S130" i="29" s="1"/>
  <c r="E130" i="29" s="1"/>
  <c r="D127" i="32"/>
  <c r="R130" i="29" s="1"/>
  <c r="D130" i="29" s="1"/>
  <c r="O305" i="33"/>
  <c r="N305" i="33"/>
  <c r="M305" i="33"/>
  <c r="L305" i="33"/>
  <c r="C307" i="32" s="1"/>
  <c r="Q48" i="29"/>
  <c r="C48" i="29" s="1"/>
  <c r="O102" i="33"/>
  <c r="N102" i="33"/>
  <c r="M102" i="33"/>
  <c r="L102" i="33"/>
  <c r="C104" i="32" s="1"/>
  <c r="O284" i="33"/>
  <c r="N284" i="33"/>
  <c r="M284" i="33"/>
  <c r="L284" i="33"/>
  <c r="C287" i="32" s="1"/>
  <c r="P8" i="33"/>
  <c r="G11" i="32" s="1"/>
  <c r="U13" i="29" s="1"/>
  <c r="G13" i="29" s="1"/>
  <c r="Q122" i="33"/>
  <c r="AC49" i="32"/>
  <c r="Q12" i="29"/>
  <c r="C12" i="29" s="1"/>
  <c r="O159" i="33"/>
  <c r="N159" i="33"/>
  <c r="M159" i="33"/>
  <c r="L159" i="33"/>
  <c r="C161" i="32" s="1"/>
  <c r="AD158" i="32"/>
  <c r="L161" i="28" s="1"/>
  <c r="M161" i="28" s="1"/>
  <c r="D279" i="32"/>
  <c r="R281" i="29" s="1"/>
  <c r="D281" i="29" s="1"/>
  <c r="F279" i="32"/>
  <c r="T281" i="29" s="1"/>
  <c r="F281" i="29" s="1"/>
  <c r="E279" i="32"/>
  <c r="S281" i="29" s="1"/>
  <c r="E281" i="29" s="1"/>
  <c r="Q70" i="29"/>
  <c r="C70" i="29" s="1"/>
  <c r="I160" i="33"/>
  <c r="F129" i="32"/>
  <c r="T132" i="29" s="1"/>
  <c r="F132" i="29" s="1"/>
  <c r="E129" i="32"/>
  <c r="S132" i="29" s="1"/>
  <c r="E132" i="29" s="1"/>
  <c r="D129" i="32"/>
  <c r="R132" i="29" s="1"/>
  <c r="D132" i="29" s="1"/>
  <c r="Q54" i="29"/>
  <c r="C54" i="29" s="1"/>
  <c r="F52" i="32"/>
  <c r="T55" i="29" s="1"/>
  <c r="F55" i="29" s="1"/>
  <c r="E52" i="32"/>
  <c r="S55" i="29" s="1"/>
  <c r="E55" i="29" s="1"/>
  <c r="D52" i="32"/>
  <c r="R55" i="29" s="1"/>
  <c r="D55" i="29" s="1"/>
  <c r="N126" i="33"/>
  <c r="M126" i="33"/>
  <c r="L126" i="33"/>
  <c r="C128" i="32" s="1"/>
  <c r="O126" i="33"/>
  <c r="I27" i="33"/>
  <c r="O291" i="33"/>
  <c r="N291" i="33"/>
  <c r="M291" i="33"/>
  <c r="L291" i="33"/>
  <c r="C294" i="32" s="1"/>
  <c r="M88" i="33"/>
  <c r="L88" i="33"/>
  <c r="C90" i="32" s="1"/>
  <c r="O88" i="33"/>
  <c r="N88" i="33"/>
  <c r="F111" i="32"/>
  <c r="T114" i="29" s="1"/>
  <c r="F114" i="29" s="1"/>
  <c r="E111" i="32"/>
  <c r="S114" i="29" s="1"/>
  <c r="E114" i="29" s="1"/>
  <c r="D111" i="32"/>
  <c r="R114" i="29" s="1"/>
  <c r="D114" i="29" s="1"/>
  <c r="AD14" i="32"/>
  <c r="L16" i="28" s="1"/>
  <c r="M16" i="28" s="1"/>
  <c r="I179" i="33"/>
  <c r="D67" i="32"/>
  <c r="R70" i="29" s="1"/>
  <c r="D70" i="29" s="1"/>
  <c r="F67" i="32"/>
  <c r="T70" i="29" s="1"/>
  <c r="F70" i="29" s="1"/>
  <c r="E67" i="32"/>
  <c r="S70" i="29" s="1"/>
  <c r="E70" i="29" s="1"/>
  <c r="M64" i="33"/>
  <c r="L64" i="33"/>
  <c r="C66" i="32" s="1"/>
  <c r="O64" i="33"/>
  <c r="N64" i="33"/>
  <c r="F11" i="32"/>
  <c r="T13" i="29" s="1"/>
  <c r="F13" i="29" s="1"/>
  <c r="E11" i="32"/>
  <c r="S13" i="29" s="1"/>
  <c r="E13" i="29" s="1"/>
  <c r="D11" i="32"/>
  <c r="R13" i="29" s="1"/>
  <c r="D13" i="29" s="1"/>
  <c r="O54" i="33"/>
  <c r="N54" i="33"/>
  <c r="L54" i="33"/>
  <c r="C56" i="32" s="1"/>
  <c r="M54" i="33"/>
  <c r="Q187" i="29"/>
  <c r="C187" i="29" s="1"/>
  <c r="O195" i="33"/>
  <c r="N195" i="33"/>
  <c r="L195" i="33"/>
  <c r="C198" i="32" s="1"/>
  <c r="M195" i="33"/>
  <c r="Q190" i="29"/>
  <c r="C190" i="29" s="1"/>
  <c r="Q312" i="29"/>
  <c r="C312" i="29" s="1"/>
  <c r="Q176" i="29"/>
  <c r="C176" i="29" s="1"/>
  <c r="Q284" i="29"/>
  <c r="C284" i="29" s="1"/>
  <c r="F301" i="32"/>
  <c r="T303" i="29" s="1"/>
  <c r="F303" i="29" s="1"/>
  <c r="E301" i="32"/>
  <c r="S303" i="29" s="1"/>
  <c r="E303" i="29" s="1"/>
  <c r="D301" i="32"/>
  <c r="R303" i="29" s="1"/>
  <c r="D303" i="29" s="1"/>
  <c r="Q167" i="29"/>
  <c r="C167" i="29" s="1"/>
  <c r="Q202" i="29"/>
  <c r="C202" i="29" s="1"/>
  <c r="Q290" i="33"/>
  <c r="E245" i="32"/>
  <c r="S247" i="29" s="1"/>
  <c r="E247" i="29" s="1"/>
  <c r="D245" i="32"/>
  <c r="R247" i="29" s="1"/>
  <c r="D247" i="29" s="1"/>
  <c r="F245" i="32"/>
  <c r="T247" i="29" s="1"/>
  <c r="F247" i="29" s="1"/>
  <c r="F203" i="32"/>
  <c r="T205" i="29" s="1"/>
  <c r="F205" i="29" s="1"/>
  <c r="E203" i="32"/>
  <c r="S205" i="29" s="1"/>
  <c r="E205" i="29" s="1"/>
  <c r="D203" i="32"/>
  <c r="R205" i="29" s="1"/>
  <c r="D205" i="29" s="1"/>
  <c r="Q313" i="29"/>
  <c r="C313" i="29" s="1"/>
  <c r="F88" i="32"/>
  <c r="T91" i="29" s="1"/>
  <c r="F91" i="29" s="1"/>
  <c r="E88" i="32"/>
  <c r="S91" i="29" s="1"/>
  <c r="E91" i="29" s="1"/>
  <c r="D88" i="32"/>
  <c r="R91" i="29" s="1"/>
  <c r="D91" i="29" s="1"/>
  <c r="Q229" i="29"/>
  <c r="C229" i="29" s="1"/>
  <c r="Q276" i="29"/>
  <c r="C276" i="29" s="1"/>
  <c r="F17" i="32"/>
  <c r="T20" i="29" s="1"/>
  <c r="F20" i="29" s="1"/>
  <c r="E17" i="32"/>
  <c r="S20" i="29" s="1"/>
  <c r="E20" i="29" s="1"/>
  <c r="D17" i="32"/>
  <c r="R20" i="29" s="1"/>
  <c r="D20" i="29" s="1"/>
  <c r="P213" i="33"/>
  <c r="G216" i="32" s="1"/>
  <c r="U218" i="29" s="1"/>
  <c r="G218" i="29" s="1"/>
  <c r="I268" i="33"/>
  <c r="P66" i="33"/>
  <c r="G68" i="32" s="1"/>
  <c r="U71" i="29" s="1"/>
  <c r="G71" i="29" s="1"/>
  <c r="Q68" i="33"/>
  <c r="M37" i="33"/>
  <c r="Q207" i="29"/>
  <c r="C207" i="29" s="1"/>
  <c r="Q17" i="29"/>
  <c r="C17" i="29" s="1"/>
  <c r="Q255" i="29"/>
  <c r="C255" i="29" s="1"/>
  <c r="I198" i="33"/>
  <c r="Q99" i="29"/>
  <c r="C99" i="29" s="1"/>
  <c r="Q61" i="33"/>
  <c r="AD135" i="32"/>
  <c r="L138" i="28" s="1"/>
  <c r="M138" i="28" s="1"/>
  <c r="AC135" i="32"/>
  <c r="Q138" i="29"/>
  <c r="C138" i="29" s="1"/>
  <c r="O289" i="33"/>
  <c r="N289" i="33"/>
  <c r="M289" i="33"/>
  <c r="L289" i="33"/>
  <c r="C292" i="32" s="1"/>
  <c r="AC70" i="32"/>
  <c r="N55" i="33"/>
  <c r="O55" i="33"/>
  <c r="M55" i="33"/>
  <c r="L55" i="33"/>
  <c r="C57" i="32" s="1"/>
  <c r="D286" i="32"/>
  <c r="R288" i="29" s="1"/>
  <c r="D288" i="29" s="1"/>
  <c r="F286" i="32"/>
  <c r="T288" i="29" s="1"/>
  <c r="F288" i="29" s="1"/>
  <c r="E286" i="32"/>
  <c r="S288" i="29" s="1"/>
  <c r="E288" i="29" s="1"/>
  <c r="O293" i="33"/>
  <c r="N293" i="33"/>
  <c r="M293" i="33"/>
  <c r="L293" i="33"/>
  <c r="C296" i="32" s="1"/>
  <c r="AC293" i="32"/>
  <c r="O18" i="33"/>
  <c r="N18" i="33"/>
  <c r="M18" i="33"/>
  <c r="L18" i="33"/>
  <c r="C20" i="32" s="1"/>
  <c r="O30" i="33"/>
  <c r="L30" i="33"/>
  <c r="C32" i="32" s="1"/>
  <c r="N30" i="33"/>
  <c r="M30" i="33"/>
  <c r="O218" i="33"/>
  <c r="M218" i="33"/>
  <c r="N218" i="33"/>
  <c r="L218" i="33"/>
  <c r="C221" i="32" s="1"/>
  <c r="O239" i="33"/>
  <c r="N239" i="33"/>
  <c r="M239" i="33"/>
  <c r="L239" i="33"/>
  <c r="C242" i="32" s="1"/>
  <c r="M164" i="33"/>
  <c r="O164" i="33"/>
  <c r="N164" i="33"/>
  <c r="L164" i="33"/>
  <c r="C166" i="32" s="1"/>
  <c r="Q47" i="33"/>
  <c r="F9" i="32"/>
  <c r="T11" i="29" s="1"/>
  <c r="F11" i="29" s="1"/>
  <c r="E9" i="32"/>
  <c r="S11" i="29" s="1"/>
  <c r="E11" i="29" s="1"/>
  <c r="D9" i="32"/>
  <c r="R11" i="29" s="1"/>
  <c r="D11" i="29" s="1"/>
  <c r="F257" i="32"/>
  <c r="T259" i="29" s="1"/>
  <c r="F259" i="29" s="1"/>
  <c r="E257" i="32"/>
  <c r="S259" i="29" s="1"/>
  <c r="E259" i="29" s="1"/>
  <c r="D257" i="32"/>
  <c r="R259" i="29" s="1"/>
  <c r="D259" i="29" s="1"/>
  <c r="O221" i="33"/>
  <c r="M221" i="33"/>
  <c r="E207" i="32"/>
  <c r="S210" i="29" s="1"/>
  <c r="E210" i="29" s="1"/>
  <c r="D207" i="32"/>
  <c r="R210" i="29" s="1"/>
  <c r="D210" i="29" s="1"/>
  <c r="F207" i="32"/>
  <c r="T210" i="29" s="1"/>
  <c r="F210" i="29" s="1"/>
  <c r="G313" i="32"/>
  <c r="U315" i="29" s="1"/>
  <c r="G315" i="29" s="1"/>
  <c r="Q310" i="33"/>
  <c r="Q71" i="29"/>
  <c r="C71" i="29" s="1"/>
  <c r="N36" i="33"/>
  <c r="F81" i="32"/>
  <c r="T84" i="29" s="1"/>
  <c r="F84" i="29" s="1"/>
  <c r="E81" i="32"/>
  <c r="S84" i="29" s="1"/>
  <c r="E84" i="29" s="1"/>
  <c r="D81" i="32"/>
  <c r="R84" i="29" s="1"/>
  <c r="D84" i="29" s="1"/>
  <c r="L95" i="33"/>
  <c r="C97" i="32" s="1"/>
  <c r="O95" i="33"/>
  <c r="N95" i="33"/>
  <c r="M95" i="33"/>
  <c r="AD234" i="32"/>
  <c r="L236" i="28" s="1"/>
  <c r="M236" i="28" s="1"/>
  <c r="AC234" i="32"/>
  <c r="Q236" i="29"/>
  <c r="C236" i="29" s="1"/>
  <c r="O62" i="33"/>
  <c r="N62" i="33"/>
  <c r="M62" i="33"/>
  <c r="M169" i="33"/>
  <c r="L169" i="33"/>
  <c r="C171" i="32" s="1"/>
  <c r="O169" i="33"/>
  <c r="N169" i="33"/>
  <c r="AG315" i="32"/>
  <c r="G317" i="28"/>
  <c r="H317" i="28" s="1"/>
  <c r="E153" i="32"/>
  <c r="S155" i="29" s="1"/>
  <c r="E155" i="29" s="1"/>
  <c r="D153" i="32"/>
  <c r="R155" i="29" s="1"/>
  <c r="D155" i="29" s="1"/>
  <c r="F153" i="32"/>
  <c r="T155" i="29" s="1"/>
  <c r="F155" i="29" s="1"/>
  <c r="M230" i="33"/>
  <c r="O230" i="33"/>
  <c r="N230" i="33"/>
  <c r="L230" i="33"/>
  <c r="C233" i="32" s="1"/>
  <c r="AG23" i="32"/>
  <c r="G26" i="28"/>
  <c r="H26" i="28" s="1"/>
  <c r="G199" i="32"/>
  <c r="Q196" i="33"/>
  <c r="I162" i="33"/>
  <c r="O107" i="33"/>
  <c r="N107" i="33"/>
  <c r="M107" i="33"/>
  <c r="L107" i="33"/>
  <c r="C109" i="32" s="1"/>
  <c r="F16" i="32"/>
  <c r="T19" i="29" s="1"/>
  <c r="F19" i="29" s="1"/>
  <c r="E16" i="32"/>
  <c r="S19" i="29" s="1"/>
  <c r="E19" i="29" s="1"/>
  <c r="D16" i="32"/>
  <c r="R19" i="29" s="1"/>
  <c r="D19" i="29" s="1"/>
  <c r="P308" i="33"/>
  <c r="G311" i="32" s="1"/>
  <c r="U313" i="29" s="1"/>
  <c r="G313" i="29" s="1"/>
  <c r="I292" i="33"/>
  <c r="Q231" i="33"/>
  <c r="O294" i="33"/>
  <c r="N294" i="33"/>
  <c r="M294" i="33"/>
  <c r="L294" i="33"/>
  <c r="C297" i="32" s="1"/>
  <c r="L235" i="33"/>
  <c r="C238" i="32" s="1"/>
  <c r="N235" i="33"/>
  <c r="M235" i="33"/>
  <c r="O235" i="33"/>
  <c r="O154" i="33"/>
  <c r="L154" i="33"/>
  <c r="C156" i="32" s="1"/>
  <c r="N154" i="33"/>
  <c r="M154" i="33"/>
  <c r="M155" i="33"/>
  <c r="O155" i="33"/>
  <c r="N155" i="33"/>
  <c r="L155" i="33"/>
  <c r="C157" i="32" s="1"/>
  <c r="N51" i="33"/>
  <c r="M51" i="33"/>
  <c r="L51" i="33"/>
  <c r="C53" i="32" s="1"/>
  <c r="O51" i="33"/>
  <c r="I24" i="33"/>
  <c r="I91" i="33"/>
  <c r="X321" i="29"/>
  <c r="W321" i="29"/>
  <c r="P254" i="33"/>
  <c r="G257" i="32" s="1"/>
  <c r="U259" i="29" s="1"/>
  <c r="G259" i="29" s="1"/>
  <c r="AG321" i="32"/>
  <c r="G323" i="28"/>
  <c r="H323" i="28" s="1"/>
  <c r="O240" i="33"/>
  <c r="N240" i="33"/>
  <c r="L240" i="33"/>
  <c r="C243" i="32" s="1"/>
  <c r="M240" i="33"/>
  <c r="I76" i="33"/>
  <c r="AG318" i="32"/>
  <c r="G320" i="28"/>
  <c r="H320" i="28" s="1"/>
  <c r="E51" i="32"/>
  <c r="S54" i="29" s="1"/>
  <c r="E54" i="29" s="1"/>
  <c r="D51" i="32"/>
  <c r="R54" i="29" s="1"/>
  <c r="D54" i="29" s="1"/>
  <c r="F51" i="32"/>
  <c r="T54" i="29" s="1"/>
  <c r="F54" i="29" s="1"/>
  <c r="I167" i="33"/>
  <c r="F241" i="32"/>
  <c r="T243" i="29" s="1"/>
  <c r="F243" i="29" s="1"/>
  <c r="E241" i="32"/>
  <c r="S243" i="29" s="1"/>
  <c r="E243" i="29" s="1"/>
  <c r="D241" i="32"/>
  <c r="R243" i="29" s="1"/>
  <c r="D243" i="29" s="1"/>
  <c r="P180" i="33"/>
  <c r="G182" i="32" s="1"/>
  <c r="U185" i="29" s="1"/>
  <c r="G185" i="29" s="1"/>
  <c r="F148" i="32"/>
  <c r="T150" i="29" s="1"/>
  <c r="F150" i="29" s="1"/>
  <c r="E148" i="32"/>
  <c r="S150" i="29" s="1"/>
  <c r="E150" i="29" s="1"/>
  <c r="D148" i="32"/>
  <c r="R150" i="29" s="1"/>
  <c r="D150" i="29" s="1"/>
  <c r="Q198" i="29"/>
  <c r="C198" i="29" s="1"/>
  <c r="Q127" i="29"/>
  <c r="C127" i="29" s="1"/>
  <c r="P309" i="33"/>
  <c r="G312" i="32" s="1"/>
  <c r="U314" i="29" s="1"/>
  <c r="G314" i="29" s="1"/>
  <c r="F126" i="32"/>
  <c r="T129" i="29" s="1"/>
  <c r="F129" i="29" s="1"/>
  <c r="E126" i="32"/>
  <c r="S129" i="29" s="1"/>
  <c r="E129" i="29" s="1"/>
  <c r="D126" i="32"/>
  <c r="R129" i="29" s="1"/>
  <c r="D129" i="29" s="1"/>
  <c r="N300" i="33"/>
  <c r="M300" i="33"/>
  <c r="L300" i="33"/>
  <c r="C303" i="32" s="1"/>
  <c r="O300" i="33"/>
  <c r="I135" i="33"/>
  <c r="E71" i="32"/>
  <c r="S74" i="29" s="1"/>
  <c r="E74" i="29" s="1"/>
  <c r="D71" i="32"/>
  <c r="R74" i="29" s="1"/>
  <c r="D74" i="29" s="1"/>
  <c r="Q258" i="29"/>
  <c r="C258" i="29" s="1"/>
  <c r="O142" i="33"/>
  <c r="N142" i="33"/>
  <c r="M142" i="33"/>
  <c r="L142" i="33"/>
  <c r="C145" i="32" s="1"/>
  <c r="I174" i="33"/>
  <c r="Q217" i="29"/>
  <c r="C217" i="29" s="1"/>
  <c r="O40" i="33"/>
  <c r="N40" i="33"/>
  <c r="M40" i="33"/>
  <c r="L40" i="33"/>
  <c r="C42" i="32" s="1"/>
  <c r="AD258" i="32"/>
  <c r="L260" i="28" s="1"/>
  <c r="M260" i="28" s="1"/>
  <c r="I225" i="33"/>
  <c r="Q307" i="29"/>
  <c r="C307" i="29" s="1"/>
  <c r="Q306" i="29"/>
  <c r="C306" i="29" s="1"/>
  <c r="Q209" i="29"/>
  <c r="C209" i="29" s="1"/>
  <c r="Q132" i="29"/>
  <c r="C132" i="29" s="1"/>
  <c r="Q314" i="29"/>
  <c r="C314" i="29" s="1"/>
  <c r="Q154" i="29"/>
  <c r="C154" i="29" s="1"/>
  <c r="L199" i="33"/>
  <c r="C202" i="32" s="1"/>
  <c r="O199" i="33"/>
  <c r="N199" i="33"/>
  <c r="M199" i="33"/>
  <c r="AG317" i="32"/>
  <c r="G319" i="28"/>
  <c r="H319" i="28" s="1"/>
  <c r="O10" i="33"/>
  <c r="M10" i="33"/>
  <c r="L10" i="33"/>
  <c r="C13" i="32" s="1"/>
  <c r="N10" i="33"/>
  <c r="AG322" i="32"/>
  <c r="G324" i="28"/>
  <c r="H324" i="28" s="1"/>
  <c r="L259" i="33"/>
  <c r="C262" i="32" s="1"/>
  <c r="O259" i="33"/>
  <c r="M259" i="33"/>
  <c r="N259" i="33"/>
  <c r="AD85" i="32"/>
  <c r="L88" i="28" s="1"/>
  <c r="M88" i="28" s="1"/>
  <c r="AC85" i="32"/>
  <c r="U88" i="29"/>
  <c r="G88" i="29" s="1"/>
  <c r="N237" i="33"/>
  <c r="M237" i="33"/>
  <c r="L237" i="33"/>
  <c r="C240" i="32" s="1"/>
  <c r="O237" i="33"/>
  <c r="F196" i="32"/>
  <c r="T198" i="29" s="1"/>
  <c r="F198" i="29" s="1"/>
  <c r="E196" i="32"/>
  <c r="S198" i="29" s="1"/>
  <c r="E198" i="29" s="1"/>
  <c r="D196" i="32"/>
  <c r="R198" i="29" s="1"/>
  <c r="D198" i="29" s="1"/>
  <c r="P124" i="33"/>
  <c r="G126" i="32" s="1"/>
  <c r="U129" i="29" s="1"/>
  <c r="G129" i="29" s="1"/>
  <c r="F10" i="32"/>
  <c r="T12" i="29" s="1"/>
  <c r="F12" i="29" s="1"/>
  <c r="E10" i="32"/>
  <c r="S12" i="29" s="1"/>
  <c r="E12" i="29" s="1"/>
  <c r="D10" i="32"/>
  <c r="R12" i="29" s="1"/>
  <c r="D12" i="29" s="1"/>
  <c r="AC61" i="32"/>
  <c r="I148" i="33"/>
  <c r="L112" i="33"/>
  <c r="C114" i="32" s="1"/>
  <c r="O112" i="33"/>
  <c r="N112" i="33"/>
  <c r="M112" i="33"/>
  <c r="O166" i="33"/>
  <c r="M166" i="33"/>
  <c r="N166" i="33"/>
  <c r="L166" i="33"/>
  <c r="C168" i="32" s="1"/>
  <c r="Q62" i="29"/>
  <c r="C62" i="29" s="1"/>
  <c r="F164" i="32"/>
  <c r="T167" i="29" s="1"/>
  <c r="F167" i="29" s="1"/>
  <c r="E164" i="32"/>
  <c r="S167" i="29" s="1"/>
  <c r="E167" i="29" s="1"/>
  <c r="D164" i="32"/>
  <c r="R167" i="29" s="1"/>
  <c r="D167" i="29" s="1"/>
  <c r="P204" i="33"/>
  <c r="G206" i="32" s="1"/>
  <c r="U209" i="29" s="1"/>
  <c r="G209" i="29" s="1"/>
  <c r="P193" i="33"/>
  <c r="G196" i="32" s="1"/>
  <c r="U198" i="29" s="1"/>
  <c r="G198" i="29" s="1"/>
  <c r="O297" i="33"/>
  <c r="N297" i="33"/>
  <c r="M297" i="33"/>
  <c r="L297" i="33"/>
  <c r="C300" i="32" s="1"/>
  <c r="Q267" i="33"/>
  <c r="O244" i="33"/>
  <c r="N244" i="33"/>
  <c r="M244" i="33"/>
  <c r="L244" i="33"/>
  <c r="C247" i="32" s="1"/>
  <c r="I216" i="33"/>
  <c r="L270" i="33"/>
  <c r="C273" i="32" s="1"/>
  <c r="O270" i="33"/>
  <c r="N270" i="33"/>
  <c r="M270" i="33"/>
  <c r="AD61" i="32"/>
  <c r="L64" i="28" s="1"/>
  <c r="M64" i="28" s="1"/>
  <c r="H321" i="33"/>
  <c r="AA8" i="32"/>
  <c r="F175" i="32"/>
  <c r="T178" i="29" s="1"/>
  <c r="F178" i="29" s="1"/>
  <c r="E175" i="32"/>
  <c r="S178" i="29" s="1"/>
  <c r="E178" i="29" s="1"/>
  <c r="D175" i="32"/>
  <c r="R178" i="29" s="1"/>
  <c r="D178" i="29" s="1"/>
  <c r="I5" i="33"/>
  <c r="Q11" i="29"/>
  <c r="C11" i="29" s="1"/>
  <c r="Q259" i="29"/>
  <c r="C259" i="29" s="1"/>
  <c r="Q173" i="33"/>
  <c r="F184" i="32"/>
  <c r="T187" i="29" s="1"/>
  <c r="F187" i="29" s="1"/>
  <c r="E184" i="32"/>
  <c r="S187" i="29" s="1"/>
  <c r="E187" i="29" s="1"/>
  <c r="D184" i="32"/>
  <c r="R187" i="29" s="1"/>
  <c r="D187" i="29" s="1"/>
  <c r="Q210" i="29"/>
  <c r="C210" i="29" s="1"/>
  <c r="F187" i="32"/>
  <c r="T190" i="29" s="1"/>
  <c r="F190" i="29" s="1"/>
  <c r="E187" i="32"/>
  <c r="S190" i="29" s="1"/>
  <c r="E190" i="29" s="1"/>
  <c r="D187" i="32"/>
  <c r="R190" i="29" s="1"/>
  <c r="D190" i="29" s="1"/>
  <c r="D310" i="32"/>
  <c r="R312" i="29" s="1"/>
  <c r="D312" i="29" s="1"/>
  <c r="F310" i="32"/>
  <c r="T312" i="29" s="1"/>
  <c r="F312" i="29" s="1"/>
  <c r="E310" i="32"/>
  <c r="S312" i="29" s="1"/>
  <c r="E312" i="29" s="1"/>
  <c r="P57" i="33"/>
  <c r="D173" i="32"/>
  <c r="R176" i="29" s="1"/>
  <c r="D176" i="29" s="1"/>
  <c r="E173" i="32"/>
  <c r="S176" i="29" s="1"/>
  <c r="E176" i="29" s="1"/>
  <c r="F173" i="32"/>
  <c r="T176" i="29" s="1"/>
  <c r="F176" i="29" s="1"/>
  <c r="F282" i="32"/>
  <c r="T284" i="29" s="1"/>
  <c r="F284" i="29" s="1"/>
  <c r="E282" i="32"/>
  <c r="S284" i="29" s="1"/>
  <c r="E284" i="29" s="1"/>
  <c r="D282" i="32"/>
  <c r="R284" i="29" s="1"/>
  <c r="D284" i="29" s="1"/>
  <c r="F276" i="32"/>
  <c r="T278" i="29" s="1"/>
  <c r="F278" i="29" s="1"/>
  <c r="E276" i="32"/>
  <c r="S278" i="29" s="1"/>
  <c r="E278" i="29" s="1"/>
  <c r="D276" i="32"/>
  <c r="R278" i="29" s="1"/>
  <c r="D278" i="29" s="1"/>
  <c r="P14" i="33"/>
  <c r="AC212" i="32"/>
  <c r="Q199" i="29"/>
  <c r="C199" i="29" s="1"/>
  <c r="F200" i="32"/>
  <c r="T202" i="29" s="1"/>
  <c r="F202" i="29" s="1"/>
  <c r="E200" i="32"/>
  <c r="S202" i="29" s="1"/>
  <c r="E202" i="29" s="1"/>
  <c r="D200" i="32"/>
  <c r="R202" i="29" s="1"/>
  <c r="D202" i="29" s="1"/>
  <c r="F18" i="32"/>
  <c r="T21" i="29" s="1"/>
  <c r="F21" i="29" s="1"/>
  <c r="E18" i="32"/>
  <c r="S21" i="29" s="1"/>
  <c r="E21" i="29" s="1"/>
  <c r="D18" i="32"/>
  <c r="R21" i="29" s="1"/>
  <c r="D21" i="29" s="1"/>
  <c r="F311" i="32"/>
  <c r="T313" i="29" s="1"/>
  <c r="F313" i="29" s="1"/>
  <c r="E311" i="32"/>
  <c r="S313" i="29" s="1"/>
  <c r="E313" i="29" s="1"/>
  <c r="D311" i="32"/>
  <c r="R313" i="29" s="1"/>
  <c r="D313" i="29" s="1"/>
  <c r="I186" i="33"/>
  <c r="F274" i="32"/>
  <c r="T276" i="29" s="1"/>
  <c r="F276" i="29" s="1"/>
  <c r="E274" i="32"/>
  <c r="S276" i="29" s="1"/>
  <c r="E276" i="29" s="1"/>
  <c r="D274" i="32"/>
  <c r="R276" i="29" s="1"/>
  <c r="D276" i="29" s="1"/>
  <c r="Q218" i="29"/>
  <c r="C218" i="29" s="1"/>
  <c r="N189" i="33"/>
  <c r="M189" i="33"/>
  <c r="L189" i="33"/>
  <c r="C191" i="32" s="1"/>
  <c r="O189" i="33"/>
  <c r="E137" i="32"/>
  <c r="S18" i="29" s="1"/>
  <c r="E18" i="29" s="1"/>
  <c r="D137" i="32"/>
  <c r="R18" i="29" s="1"/>
  <c r="D18" i="29" s="1"/>
  <c r="F137" i="32"/>
  <c r="T18" i="29" s="1"/>
  <c r="F18" i="29" s="1"/>
  <c r="M248" i="33"/>
  <c r="L248" i="33"/>
  <c r="C251" i="32" s="1"/>
  <c r="N248" i="33"/>
  <c r="O248" i="33"/>
  <c r="P202" i="33"/>
  <c r="F15" i="32"/>
  <c r="T17" i="29" s="1"/>
  <c r="F17" i="29" s="1"/>
  <c r="E15" i="32"/>
  <c r="S17" i="29" s="1"/>
  <c r="E17" i="29" s="1"/>
  <c r="D15" i="32"/>
  <c r="R17" i="29" s="1"/>
  <c r="D17" i="29" s="1"/>
  <c r="P250" i="33"/>
  <c r="Q66" i="29"/>
  <c r="C66" i="29" s="1"/>
  <c r="O53" i="33"/>
  <c r="N53" i="33"/>
  <c r="L53" i="33"/>
  <c r="C55" i="32" s="1"/>
  <c r="M53" i="33"/>
  <c r="N201" i="33"/>
  <c r="M201" i="33"/>
  <c r="L201" i="33"/>
  <c r="C204" i="32" s="1"/>
  <c r="O201" i="33"/>
  <c r="AD70" i="32"/>
  <c r="L73" i="28" s="1"/>
  <c r="M73" i="28" s="1"/>
  <c r="O33" i="33"/>
  <c r="N33" i="33"/>
  <c r="M33" i="33"/>
  <c r="L33" i="33"/>
  <c r="C35" i="32" s="1"/>
  <c r="AD293" i="32"/>
  <c r="L295" i="28" s="1"/>
  <c r="M295" i="28" s="1"/>
  <c r="M287" i="33"/>
  <c r="L287" i="33"/>
  <c r="C290" i="32" s="1"/>
  <c r="O287" i="33"/>
  <c r="N287" i="33"/>
  <c r="L223" i="33"/>
  <c r="C226" i="32" s="1"/>
  <c r="O223" i="33"/>
  <c r="M223" i="33"/>
  <c r="N223" i="33"/>
  <c r="P234" i="33"/>
  <c r="G237" i="32" s="1"/>
  <c r="U239" i="29" s="1"/>
  <c r="G239" i="29" s="1"/>
  <c r="O103" i="33"/>
  <c r="N103" i="33"/>
  <c r="M103" i="33"/>
  <c r="L103" i="33"/>
  <c r="C105" i="32" s="1"/>
  <c r="L187" i="33"/>
  <c r="C189" i="32" s="1"/>
  <c r="O187" i="33"/>
  <c r="N187" i="33"/>
  <c r="M187" i="33"/>
  <c r="F182" i="32"/>
  <c r="T185" i="29" s="1"/>
  <c r="F185" i="29" s="1"/>
  <c r="E182" i="32"/>
  <c r="S185" i="29" s="1"/>
  <c r="E185" i="29" s="1"/>
  <c r="D182" i="32"/>
  <c r="R185" i="29" s="1"/>
  <c r="D185" i="29" s="1"/>
  <c r="P43" i="33" l="1"/>
  <c r="G45" i="32" s="1"/>
  <c r="U48" i="29" s="1"/>
  <c r="G48" i="29" s="1"/>
  <c r="G170" i="32"/>
  <c r="U173" i="29" s="1"/>
  <c r="G173" i="29" s="1"/>
  <c r="D45" i="32"/>
  <c r="R48" i="29" s="1"/>
  <c r="D48" i="29" s="1"/>
  <c r="M214" i="33"/>
  <c r="L214" i="33"/>
  <c r="C217" i="32" s="1"/>
  <c r="E45" i="32"/>
  <c r="S48" i="29" s="1"/>
  <c r="E48" i="29" s="1"/>
  <c r="N214" i="33"/>
  <c r="Q209" i="33"/>
  <c r="O37" i="33"/>
  <c r="D304" i="32"/>
  <c r="R307" i="29" s="1"/>
  <c r="D307" i="29" s="1"/>
  <c r="E304" i="32"/>
  <c r="S307" i="29" s="1"/>
  <c r="E307" i="29" s="1"/>
  <c r="N37" i="33"/>
  <c r="O31" i="33"/>
  <c r="Q266" i="33"/>
  <c r="AD212" i="32"/>
  <c r="L214" i="28" s="1"/>
  <c r="M214" i="28" s="1"/>
  <c r="P25" i="33"/>
  <c r="G27" i="32" s="1"/>
  <c r="U30" i="29" s="1"/>
  <c r="G30" i="29" s="1"/>
  <c r="D285" i="32"/>
  <c r="R287" i="29" s="1"/>
  <c r="D287" i="29" s="1"/>
  <c r="AC82" i="32"/>
  <c r="M233" i="33"/>
  <c r="P58" i="33"/>
  <c r="G60" i="32" s="1"/>
  <c r="U63" i="29" s="1"/>
  <c r="G63" i="29" s="1"/>
  <c r="N233" i="33"/>
  <c r="Q301" i="33"/>
  <c r="P150" i="33"/>
  <c r="G153" i="32" s="1"/>
  <c r="U155" i="29" s="1"/>
  <c r="G155" i="29" s="1"/>
  <c r="AD122" i="32"/>
  <c r="L125" i="28" s="1"/>
  <c r="M125" i="28" s="1"/>
  <c r="P39" i="33"/>
  <c r="G41" i="32" s="1"/>
  <c r="F291" i="32"/>
  <c r="T293" i="29" s="1"/>
  <c r="F293" i="29" s="1"/>
  <c r="M110" i="33"/>
  <c r="D291" i="32"/>
  <c r="R293" i="29" s="1"/>
  <c r="D293" i="29" s="1"/>
  <c r="N110" i="33"/>
  <c r="AC122" i="32"/>
  <c r="D277" i="32"/>
  <c r="R279" i="29" s="1"/>
  <c r="D279" i="29" s="1"/>
  <c r="M121" i="33"/>
  <c r="P15" i="33"/>
  <c r="Q15" i="33" s="1"/>
  <c r="E277" i="32"/>
  <c r="S279" i="29" s="1"/>
  <c r="E279" i="29" s="1"/>
  <c r="P306" i="33"/>
  <c r="G309" i="32" s="1"/>
  <c r="U311" i="29" s="1"/>
  <c r="G311" i="29" s="1"/>
  <c r="AC124" i="32"/>
  <c r="AD82" i="32"/>
  <c r="L85" i="28" s="1"/>
  <c r="M85" i="28" s="1"/>
  <c r="AD124" i="32"/>
  <c r="L127" i="28" s="1"/>
  <c r="M127" i="28" s="1"/>
  <c r="Q80" i="33"/>
  <c r="Q161" i="33"/>
  <c r="P302" i="33"/>
  <c r="P224" i="33"/>
  <c r="G227" i="32" s="1"/>
  <c r="U229" i="29" s="1"/>
  <c r="G229" i="29" s="1"/>
  <c r="U83" i="29"/>
  <c r="G83" i="29" s="1"/>
  <c r="AC80" i="32"/>
  <c r="AD80" i="32"/>
  <c r="L83" i="28" s="1"/>
  <c r="M83" i="28" s="1"/>
  <c r="O36" i="33"/>
  <c r="P288" i="33"/>
  <c r="G291" i="32" s="1"/>
  <c r="U293" i="29" s="1"/>
  <c r="G293" i="29" s="1"/>
  <c r="M147" i="33"/>
  <c r="Q238" i="33"/>
  <c r="N147" i="33"/>
  <c r="Q78" i="33"/>
  <c r="O147" i="33"/>
  <c r="Q219" i="33"/>
  <c r="Q6" i="33"/>
  <c r="L36" i="33"/>
  <c r="C38" i="32" s="1"/>
  <c r="Q293" i="29"/>
  <c r="C293" i="29" s="1"/>
  <c r="P79" i="33"/>
  <c r="E227" i="32"/>
  <c r="S229" i="29" s="1"/>
  <c r="E229" i="29" s="1"/>
  <c r="D227" i="32"/>
  <c r="R229" i="29" s="1"/>
  <c r="D229" i="29" s="1"/>
  <c r="Q86" i="33"/>
  <c r="F227" i="32"/>
  <c r="T229" i="29" s="1"/>
  <c r="F229" i="29" s="1"/>
  <c r="AC96" i="32"/>
  <c r="P69" i="33"/>
  <c r="G71" i="32" s="1"/>
  <c r="U74" i="29" s="1"/>
  <c r="G74" i="29" s="1"/>
  <c r="P282" i="33"/>
  <c r="G285" i="32" s="1"/>
  <c r="U287" i="29" s="1"/>
  <c r="G287" i="29" s="1"/>
  <c r="Q72" i="33"/>
  <c r="N121" i="33"/>
  <c r="N23" i="33"/>
  <c r="O23" i="33"/>
  <c r="M23" i="33"/>
  <c r="P23" i="33" s="1"/>
  <c r="G25" i="32" s="1"/>
  <c r="U28" i="29" s="1"/>
  <c r="G28" i="29" s="1"/>
  <c r="G16" i="28"/>
  <c r="H16" i="28" s="1"/>
  <c r="AC308" i="32"/>
  <c r="AD308" i="32"/>
  <c r="L306" i="28" s="1"/>
  <c r="M306" i="28" s="1"/>
  <c r="AD170" i="32"/>
  <c r="L173" i="28" s="1"/>
  <c r="M173" i="28" s="1"/>
  <c r="AD256" i="32"/>
  <c r="L258" i="28" s="1"/>
  <c r="M258" i="28" s="1"/>
  <c r="AD197" i="32"/>
  <c r="L199" i="28" s="1"/>
  <c r="M199" i="28" s="1"/>
  <c r="Q200" i="33"/>
  <c r="D288" i="32"/>
  <c r="R290" i="29" s="1"/>
  <c r="D290" i="29" s="1"/>
  <c r="E288" i="32"/>
  <c r="S290" i="29" s="1"/>
  <c r="E290" i="29" s="1"/>
  <c r="P285" i="33"/>
  <c r="G288" i="32" s="1"/>
  <c r="U290" i="29" s="1"/>
  <c r="G290" i="29" s="1"/>
  <c r="AC197" i="32"/>
  <c r="Q43" i="33"/>
  <c r="Q213" i="33"/>
  <c r="AC129" i="32"/>
  <c r="Q194" i="33"/>
  <c r="AD129" i="32"/>
  <c r="L132" i="28" s="1"/>
  <c r="M132" i="28" s="1"/>
  <c r="P105" i="33"/>
  <c r="G107" i="32" s="1"/>
  <c r="U111" i="29" s="1"/>
  <c r="G111" i="29" s="1"/>
  <c r="P49" i="33"/>
  <c r="G51" i="32" s="1"/>
  <c r="U54" i="29" s="1"/>
  <c r="G54" i="29" s="1"/>
  <c r="P307" i="33"/>
  <c r="G310" i="32" s="1"/>
  <c r="U312" i="29" s="1"/>
  <c r="G312" i="29" s="1"/>
  <c r="P82" i="33"/>
  <c r="G84" i="32" s="1"/>
  <c r="U87" i="29" s="1"/>
  <c r="G87" i="29" s="1"/>
  <c r="Q264" i="33"/>
  <c r="AD215" i="32"/>
  <c r="L217" i="28" s="1"/>
  <c r="M217" i="28" s="1"/>
  <c r="O217" i="33"/>
  <c r="P13" i="33"/>
  <c r="G137" i="32" s="1"/>
  <c r="U18" i="29" s="1"/>
  <c r="G18" i="29" s="1"/>
  <c r="E84" i="32"/>
  <c r="S87" i="29" s="1"/>
  <c r="E87" i="29" s="1"/>
  <c r="P274" i="33"/>
  <c r="G277" i="32" s="1"/>
  <c r="U279" i="29" s="1"/>
  <c r="G279" i="29" s="1"/>
  <c r="O77" i="33"/>
  <c r="L77" i="33"/>
  <c r="C79" i="32" s="1"/>
  <c r="Q82" i="29" s="1"/>
  <c r="C82" i="29" s="1"/>
  <c r="Q42" i="33"/>
  <c r="AC215" i="32"/>
  <c r="AG215" i="32" s="1"/>
  <c r="Q273" i="33"/>
  <c r="AD269" i="32"/>
  <c r="L271" i="28" s="1"/>
  <c r="M271" i="28" s="1"/>
  <c r="P275" i="33"/>
  <c r="G278" i="32" s="1"/>
  <c r="U280" i="29" s="1"/>
  <c r="G280" i="29" s="1"/>
  <c r="Q197" i="33"/>
  <c r="P276" i="33"/>
  <c r="G279" i="32" s="1"/>
  <c r="U281" i="29" s="1"/>
  <c r="G281" i="29" s="1"/>
  <c r="M77" i="33"/>
  <c r="Q66" i="33"/>
  <c r="N35" i="33"/>
  <c r="D265" i="32"/>
  <c r="R267" i="29" s="1"/>
  <c r="D267" i="29" s="1"/>
  <c r="AC216" i="32"/>
  <c r="G218" i="28" s="1"/>
  <c r="H218" i="28" s="1"/>
  <c r="Q52" i="33"/>
  <c r="O35" i="33"/>
  <c r="Q70" i="33"/>
  <c r="E265" i="32"/>
  <c r="S267" i="29" s="1"/>
  <c r="E267" i="29" s="1"/>
  <c r="AD96" i="32"/>
  <c r="L99" i="28" s="1"/>
  <c r="M99" i="28" s="1"/>
  <c r="AD216" i="32"/>
  <c r="L218" i="28" s="1"/>
  <c r="M218" i="28" s="1"/>
  <c r="L221" i="33"/>
  <c r="C224" i="32" s="1"/>
  <c r="L35" i="33"/>
  <c r="C37" i="32" s="1"/>
  <c r="AD302" i="32"/>
  <c r="L304" i="28" s="1"/>
  <c r="M304" i="28" s="1"/>
  <c r="P109" i="33"/>
  <c r="G111" i="32" s="1"/>
  <c r="U114" i="29" s="1"/>
  <c r="G114" i="29" s="1"/>
  <c r="F278" i="32"/>
  <c r="T280" i="29" s="1"/>
  <c r="F280" i="29" s="1"/>
  <c r="AD54" i="32"/>
  <c r="L57" i="28" s="1"/>
  <c r="M57" i="28" s="1"/>
  <c r="F248" i="32"/>
  <c r="T250" i="29" s="1"/>
  <c r="F250" i="29" s="1"/>
  <c r="E248" i="32"/>
  <c r="S250" i="29" s="1"/>
  <c r="E250" i="29" s="1"/>
  <c r="D248" i="32"/>
  <c r="R250" i="29" s="1"/>
  <c r="D250" i="29" s="1"/>
  <c r="AC63" i="32"/>
  <c r="AG63" i="32" s="1"/>
  <c r="D278" i="32"/>
  <c r="R280" i="29" s="1"/>
  <c r="D280" i="29" s="1"/>
  <c r="O121" i="33"/>
  <c r="AD63" i="32"/>
  <c r="L66" i="28" s="1"/>
  <c r="M66" i="28" s="1"/>
  <c r="P227" i="33"/>
  <c r="G230" i="32" s="1"/>
  <c r="U232" i="29" s="1"/>
  <c r="G232" i="29" s="1"/>
  <c r="Q242" i="33"/>
  <c r="C248" i="32"/>
  <c r="P245" i="33"/>
  <c r="G248" i="32" s="1"/>
  <c r="U250" i="29" s="1"/>
  <c r="G250" i="29" s="1"/>
  <c r="L31" i="33"/>
  <c r="C33" i="32" s="1"/>
  <c r="Q36" i="29" s="1"/>
  <c r="C36" i="29" s="1"/>
  <c r="AC54" i="32"/>
  <c r="AG54" i="32" s="1"/>
  <c r="Q125" i="33"/>
  <c r="P16" i="33"/>
  <c r="G18" i="32" s="1"/>
  <c r="U21" i="29" s="1"/>
  <c r="G21" i="29" s="1"/>
  <c r="G17" i="32"/>
  <c r="U20" i="29" s="1"/>
  <c r="G20" i="29" s="1"/>
  <c r="O134" i="33"/>
  <c r="AC170" i="32"/>
  <c r="Q182" i="33"/>
  <c r="M134" i="33"/>
  <c r="F136" i="32" s="1"/>
  <c r="T139" i="29" s="1"/>
  <c r="F139" i="29" s="1"/>
  <c r="L296" i="33"/>
  <c r="C299" i="32" s="1"/>
  <c r="O73" i="33"/>
  <c r="G255" i="32"/>
  <c r="P12" i="33"/>
  <c r="Q12" i="33" s="1"/>
  <c r="AD312" i="32"/>
  <c r="L314" i="28" s="1"/>
  <c r="M314" i="28" s="1"/>
  <c r="Q39" i="33"/>
  <c r="P249" i="33"/>
  <c r="G252" i="32" s="1"/>
  <c r="P164" i="33"/>
  <c r="G166" i="32" s="1"/>
  <c r="U169" i="29" s="1"/>
  <c r="G169" i="29" s="1"/>
  <c r="AC269" i="32"/>
  <c r="Q108" i="33"/>
  <c r="AC152" i="32"/>
  <c r="M73" i="33"/>
  <c r="E75" i="32" s="1"/>
  <c r="S78" i="29" s="1"/>
  <c r="E78" i="29" s="1"/>
  <c r="AD152" i="32"/>
  <c r="L154" i="28" s="1"/>
  <c r="M154" i="28" s="1"/>
  <c r="L73" i="33"/>
  <c r="C75" i="32" s="1"/>
  <c r="L146" i="33"/>
  <c r="C149" i="32" s="1"/>
  <c r="AC302" i="32"/>
  <c r="AG302" i="32" s="1"/>
  <c r="Q132" i="33"/>
  <c r="L157" i="33"/>
  <c r="C159" i="32" s="1"/>
  <c r="N134" i="33"/>
  <c r="M146" i="33"/>
  <c r="P50" i="33"/>
  <c r="P7" i="33"/>
  <c r="G10" i="32" s="1"/>
  <c r="U12" i="29" s="1"/>
  <c r="G12" i="29" s="1"/>
  <c r="N146" i="33"/>
  <c r="AC134" i="32"/>
  <c r="AG134" i="32" s="1"/>
  <c r="AD134" i="32"/>
  <c r="L137" i="28" s="1"/>
  <c r="M137" i="28" s="1"/>
  <c r="M181" i="33"/>
  <c r="N181" i="33"/>
  <c r="L181" i="33"/>
  <c r="O181" i="33"/>
  <c r="O110" i="33"/>
  <c r="U44" i="29"/>
  <c r="G44" i="29" s="1"/>
  <c r="AC41" i="32"/>
  <c r="AD41" i="32"/>
  <c r="L44" i="28" s="1"/>
  <c r="M44" i="28" s="1"/>
  <c r="L136" i="33"/>
  <c r="M136" i="33"/>
  <c r="O136" i="33"/>
  <c r="N136" i="33"/>
  <c r="P9" i="33"/>
  <c r="G12" i="32" s="1"/>
  <c r="U14" i="29" s="1"/>
  <c r="G14" i="29" s="1"/>
  <c r="P131" i="33"/>
  <c r="G133" i="32" s="1"/>
  <c r="U136" i="29" s="1"/>
  <c r="G136" i="29" s="1"/>
  <c r="C195" i="32"/>
  <c r="P153" i="33"/>
  <c r="P217" i="33"/>
  <c r="G220" i="32" s="1"/>
  <c r="U222" i="29" s="1"/>
  <c r="G222" i="29" s="1"/>
  <c r="C73" i="32"/>
  <c r="P71" i="33"/>
  <c r="G73" i="32" s="1"/>
  <c r="U76" i="29" s="1"/>
  <c r="G76" i="29" s="1"/>
  <c r="D73" i="32"/>
  <c r="R76" i="29" s="1"/>
  <c r="D76" i="29" s="1"/>
  <c r="F73" i="32"/>
  <c r="T76" i="29" s="1"/>
  <c r="F76" i="29" s="1"/>
  <c r="E73" i="32"/>
  <c r="S76" i="29" s="1"/>
  <c r="E76" i="29" s="1"/>
  <c r="F195" i="32"/>
  <c r="T158" i="29" s="1"/>
  <c r="F158" i="29" s="1"/>
  <c r="E195" i="32"/>
  <c r="S158" i="29" s="1"/>
  <c r="E158" i="29" s="1"/>
  <c r="D195" i="32"/>
  <c r="R158" i="29" s="1"/>
  <c r="D158" i="29" s="1"/>
  <c r="P207" i="33"/>
  <c r="F210" i="32"/>
  <c r="T212" i="29" s="1"/>
  <c r="F212" i="29" s="1"/>
  <c r="E210" i="32"/>
  <c r="S212" i="29" s="1"/>
  <c r="E212" i="29" s="1"/>
  <c r="D210" i="32"/>
  <c r="R212" i="29" s="1"/>
  <c r="D212" i="29" s="1"/>
  <c r="AC206" i="32"/>
  <c r="AC257" i="32"/>
  <c r="AG257" i="32" s="1"/>
  <c r="P100" i="33"/>
  <c r="G102" i="32" s="1"/>
  <c r="U105" i="29" s="1"/>
  <c r="G105" i="29" s="1"/>
  <c r="AC313" i="32"/>
  <c r="G315" i="28" s="1"/>
  <c r="H315" i="28" s="1"/>
  <c r="AC312" i="32"/>
  <c r="AC256" i="32"/>
  <c r="P128" i="33"/>
  <c r="G130" i="32" s="1"/>
  <c r="U133" i="29" s="1"/>
  <c r="G133" i="29" s="1"/>
  <c r="E167" i="32"/>
  <c r="S170" i="29" s="1"/>
  <c r="E170" i="29" s="1"/>
  <c r="D167" i="32"/>
  <c r="R170" i="29" s="1"/>
  <c r="D170" i="29" s="1"/>
  <c r="F167" i="32"/>
  <c r="T170" i="29" s="1"/>
  <c r="F170" i="29" s="1"/>
  <c r="P95" i="33"/>
  <c r="G97" i="32" s="1"/>
  <c r="U100" i="29" s="1"/>
  <c r="G100" i="29" s="1"/>
  <c r="P129" i="33"/>
  <c r="G131" i="32" s="1"/>
  <c r="U134" i="29" s="1"/>
  <c r="G134" i="29" s="1"/>
  <c r="N115" i="33"/>
  <c r="M115" i="33"/>
  <c r="L115" i="33"/>
  <c r="O115" i="33"/>
  <c r="C30" i="32"/>
  <c r="P28" i="33"/>
  <c r="G30" i="32" s="1"/>
  <c r="U33" i="29" s="1"/>
  <c r="G33" i="29" s="1"/>
  <c r="F133" i="32"/>
  <c r="T136" i="29" s="1"/>
  <c r="F136" i="29" s="1"/>
  <c r="E133" i="32"/>
  <c r="S136" i="29" s="1"/>
  <c r="E136" i="29" s="1"/>
  <c r="D133" i="32"/>
  <c r="R136" i="29" s="1"/>
  <c r="D136" i="29" s="1"/>
  <c r="F180" i="32"/>
  <c r="T183" i="29" s="1"/>
  <c r="F183" i="29" s="1"/>
  <c r="E180" i="32"/>
  <c r="S183" i="29" s="1"/>
  <c r="E183" i="29" s="1"/>
  <c r="D180" i="32"/>
  <c r="R183" i="29" s="1"/>
  <c r="D183" i="29" s="1"/>
  <c r="Q41" i="33"/>
  <c r="O34" i="33"/>
  <c r="N34" i="33"/>
  <c r="M34" i="33"/>
  <c r="L34" i="33"/>
  <c r="C36" i="32" s="1"/>
  <c r="D30" i="32"/>
  <c r="R33" i="29" s="1"/>
  <c r="D33" i="29" s="1"/>
  <c r="F30" i="32"/>
  <c r="T33" i="29" s="1"/>
  <c r="F33" i="29" s="1"/>
  <c r="E30" i="32"/>
  <c r="S33" i="29" s="1"/>
  <c r="E33" i="29" s="1"/>
  <c r="C133" i="32"/>
  <c r="AC62" i="32"/>
  <c r="AG62" i="32" s="1"/>
  <c r="P45" i="33"/>
  <c r="G47" i="32" s="1"/>
  <c r="U50" i="29" s="1"/>
  <c r="G50" i="29" s="1"/>
  <c r="O123" i="33"/>
  <c r="N123" i="33"/>
  <c r="L123" i="33"/>
  <c r="M123" i="33"/>
  <c r="F47" i="32"/>
  <c r="T50" i="29" s="1"/>
  <c r="F50" i="29" s="1"/>
  <c r="E47" i="32"/>
  <c r="S50" i="29" s="1"/>
  <c r="E50" i="29" s="1"/>
  <c r="D47" i="32"/>
  <c r="R50" i="29" s="1"/>
  <c r="D50" i="29" s="1"/>
  <c r="C180" i="32"/>
  <c r="P178" i="33"/>
  <c r="G180" i="32" s="1"/>
  <c r="U183" i="29" s="1"/>
  <c r="G183" i="29" s="1"/>
  <c r="P272" i="33"/>
  <c r="G275" i="32" s="1"/>
  <c r="U277" i="29" s="1"/>
  <c r="G277" i="29" s="1"/>
  <c r="C47" i="32"/>
  <c r="P230" i="33"/>
  <c r="G233" i="32" s="1"/>
  <c r="U235" i="29" s="1"/>
  <c r="G235" i="29" s="1"/>
  <c r="Q8" i="33"/>
  <c r="P138" i="33"/>
  <c r="G141" i="32" s="1"/>
  <c r="U143" i="29" s="1"/>
  <c r="G143" i="29" s="1"/>
  <c r="P55" i="33"/>
  <c r="G57" i="32" s="1"/>
  <c r="U60" i="29" s="1"/>
  <c r="G60" i="29" s="1"/>
  <c r="P305" i="33"/>
  <c r="G307" i="32" s="1"/>
  <c r="U310" i="29" s="1"/>
  <c r="G310" i="29" s="1"/>
  <c r="P155" i="33"/>
  <c r="G157" i="32" s="1"/>
  <c r="U160" i="29" s="1"/>
  <c r="G160" i="29" s="1"/>
  <c r="P107" i="33"/>
  <c r="Q107" i="33" s="1"/>
  <c r="L22" i="33"/>
  <c r="O22" i="33"/>
  <c r="N22" i="33"/>
  <c r="M22" i="33"/>
  <c r="Q253" i="33"/>
  <c r="P102" i="33"/>
  <c r="G104" i="32" s="1"/>
  <c r="U107" i="29" s="1"/>
  <c r="G107" i="29" s="1"/>
  <c r="P295" i="33"/>
  <c r="G298" i="32" s="1"/>
  <c r="U300" i="29" s="1"/>
  <c r="G300" i="29" s="1"/>
  <c r="P188" i="33"/>
  <c r="G190" i="32" s="1"/>
  <c r="U193" i="29" s="1"/>
  <c r="G193" i="29" s="1"/>
  <c r="C167" i="32"/>
  <c r="P165" i="33"/>
  <c r="G167" i="32" s="1"/>
  <c r="U170" i="29" s="1"/>
  <c r="G170" i="29" s="1"/>
  <c r="AD279" i="32"/>
  <c r="L281" i="28" s="1"/>
  <c r="M281" i="28" s="1"/>
  <c r="P154" i="33"/>
  <c r="G156" i="32" s="1"/>
  <c r="U159" i="29" s="1"/>
  <c r="G159" i="29" s="1"/>
  <c r="AC67" i="32"/>
  <c r="AG67" i="32" s="1"/>
  <c r="P32" i="33"/>
  <c r="G34" i="32" s="1"/>
  <c r="U37" i="29" s="1"/>
  <c r="G37" i="29" s="1"/>
  <c r="O157" i="33"/>
  <c r="F25" i="32"/>
  <c r="T28" i="29" s="1"/>
  <c r="F28" i="29" s="1"/>
  <c r="E25" i="32"/>
  <c r="S28" i="29" s="1"/>
  <c r="E28" i="29" s="1"/>
  <c r="D25" i="32"/>
  <c r="R28" i="29" s="1"/>
  <c r="D28" i="29" s="1"/>
  <c r="C259" i="32"/>
  <c r="P256" i="33"/>
  <c r="G259" i="32" s="1"/>
  <c r="U261" i="29" s="1"/>
  <c r="G261" i="29" s="1"/>
  <c r="F86" i="32"/>
  <c r="T89" i="29" s="1"/>
  <c r="F89" i="29" s="1"/>
  <c r="E86" i="32"/>
  <c r="S89" i="29" s="1"/>
  <c r="E89" i="29" s="1"/>
  <c r="D86" i="32"/>
  <c r="R89" i="29" s="1"/>
  <c r="D89" i="29" s="1"/>
  <c r="F266" i="32"/>
  <c r="T268" i="29" s="1"/>
  <c r="F268" i="29" s="1"/>
  <c r="E266" i="32"/>
  <c r="S268" i="29" s="1"/>
  <c r="E268" i="29" s="1"/>
  <c r="D266" i="32"/>
  <c r="R268" i="29" s="1"/>
  <c r="D268" i="29" s="1"/>
  <c r="D209" i="32"/>
  <c r="R211" i="29" s="1"/>
  <c r="D211" i="29" s="1"/>
  <c r="F209" i="32"/>
  <c r="T211" i="29" s="1"/>
  <c r="F211" i="29" s="1"/>
  <c r="E209" i="32"/>
  <c r="S211" i="29" s="1"/>
  <c r="E211" i="29" s="1"/>
  <c r="C119" i="32"/>
  <c r="C58" i="32"/>
  <c r="P56" i="33"/>
  <c r="AC279" i="32"/>
  <c r="AD67" i="32"/>
  <c r="L70" i="28" s="1"/>
  <c r="M70" i="28" s="1"/>
  <c r="P101" i="33"/>
  <c r="G103" i="32" s="1"/>
  <c r="U106" i="29" s="1"/>
  <c r="G106" i="29" s="1"/>
  <c r="Q128" i="33"/>
  <c r="M157" i="33"/>
  <c r="E159" i="32" s="1"/>
  <c r="S162" i="29" s="1"/>
  <c r="E162" i="29" s="1"/>
  <c r="C131" i="32"/>
  <c r="Q77" i="29"/>
  <c r="AC74" i="32"/>
  <c r="AD74" i="32"/>
  <c r="L77" i="28" s="1"/>
  <c r="M77" i="28" s="1"/>
  <c r="D259" i="32"/>
  <c r="R261" i="29" s="1"/>
  <c r="D261" i="29" s="1"/>
  <c r="F259" i="32"/>
  <c r="T261" i="29" s="1"/>
  <c r="F261" i="29" s="1"/>
  <c r="E259" i="32"/>
  <c r="S261" i="29" s="1"/>
  <c r="E261" i="29" s="1"/>
  <c r="P84" i="33"/>
  <c r="R46" i="29"/>
  <c r="D46" i="29" s="1"/>
  <c r="AD43" i="32"/>
  <c r="L46" i="28" s="1"/>
  <c r="M46" i="28" s="1"/>
  <c r="AC43" i="32"/>
  <c r="F58" i="32"/>
  <c r="T61" i="29" s="1"/>
  <c r="F61" i="29" s="1"/>
  <c r="E58" i="32"/>
  <c r="S61" i="29" s="1"/>
  <c r="E61" i="29" s="1"/>
  <c r="D58" i="32"/>
  <c r="R61" i="29" s="1"/>
  <c r="D61" i="29" s="1"/>
  <c r="Q224" i="33"/>
  <c r="P63" i="33"/>
  <c r="G65" i="32" s="1"/>
  <c r="U68" i="29" s="1"/>
  <c r="G68" i="29" s="1"/>
  <c r="P158" i="33"/>
  <c r="G160" i="32" s="1"/>
  <c r="U163" i="29" s="1"/>
  <c r="G163" i="29" s="1"/>
  <c r="C144" i="32"/>
  <c r="P141" i="33"/>
  <c r="G144" i="32" s="1"/>
  <c r="U146" i="29" s="1"/>
  <c r="G146" i="29" s="1"/>
  <c r="E131" i="32"/>
  <c r="S134" i="29" s="1"/>
  <c r="E134" i="29" s="1"/>
  <c r="D131" i="32"/>
  <c r="R134" i="29" s="1"/>
  <c r="D134" i="29" s="1"/>
  <c r="F131" i="32"/>
  <c r="T134" i="29" s="1"/>
  <c r="F134" i="29" s="1"/>
  <c r="P278" i="33"/>
  <c r="G281" i="32" s="1"/>
  <c r="U283" i="29" s="1"/>
  <c r="G283" i="29" s="1"/>
  <c r="C281" i="32"/>
  <c r="F144" i="32"/>
  <c r="T146" i="29" s="1"/>
  <c r="F146" i="29" s="1"/>
  <c r="E144" i="32"/>
  <c r="S146" i="29" s="1"/>
  <c r="E146" i="29" s="1"/>
  <c r="D144" i="32"/>
  <c r="R146" i="29" s="1"/>
  <c r="D146" i="29" s="1"/>
  <c r="C136" i="32"/>
  <c r="D123" i="32"/>
  <c r="R126" i="29" s="1"/>
  <c r="D126" i="29" s="1"/>
  <c r="F123" i="32"/>
  <c r="T126" i="29" s="1"/>
  <c r="F126" i="29" s="1"/>
  <c r="E123" i="32"/>
  <c r="S126" i="29" s="1"/>
  <c r="E126" i="29" s="1"/>
  <c r="C209" i="32"/>
  <c r="P206" i="33"/>
  <c r="G209" i="32" s="1"/>
  <c r="U211" i="29" s="1"/>
  <c r="G211" i="29" s="1"/>
  <c r="C186" i="32"/>
  <c r="C12" i="32"/>
  <c r="AD257" i="32"/>
  <c r="L259" i="28" s="1"/>
  <c r="M259" i="28" s="1"/>
  <c r="P166" i="33"/>
  <c r="G168" i="32" s="1"/>
  <c r="U171" i="29" s="1"/>
  <c r="G171" i="29" s="1"/>
  <c r="P289" i="33"/>
  <c r="G292" i="32" s="1"/>
  <c r="U294" i="29" s="1"/>
  <c r="G294" i="29" s="1"/>
  <c r="AC100" i="32"/>
  <c r="G103" i="28" s="1"/>
  <c r="H103" i="28" s="1"/>
  <c r="P241" i="33"/>
  <c r="G244" i="32" s="1"/>
  <c r="U246" i="29" s="1"/>
  <c r="G246" i="29" s="1"/>
  <c r="P281" i="33"/>
  <c r="G284" i="32" s="1"/>
  <c r="U286" i="29" s="1"/>
  <c r="G286" i="29" s="1"/>
  <c r="E299" i="32"/>
  <c r="S301" i="29" s="1"/>
  <c r="E301" i="29" s="1"/>
  <c r="D299" i="32"/>
  <c r="R301" i="29" s="1"/>
  <c r="D301" i="29" s="1"/>
  <c r="F299" i="32"/>
  <c r="T301" i="29" s="1"/>
  <c r="F301" i="29" s="1"/>
  <c r="D186" i="32"/>
  <c r="R189" i="29" s="1"/>
  <c r="D189" i="29" s="1"/>
  <c r="E186" i="32"/>
  <c r="S189" i="29" s="1"/>
  <c r="E189" i="29" s="1"/>
  <c r="F186" i="32"/>
  <c r="T189" i="29" s="1"/>
  <c r="F189" i="29" s="1"/>
  <c r="O85" i="33"/>
  <c r="N85" i="33"/>
  <c r="M85" i="33"/>
  <c r="L85" i="33"/>
  <c r="C87" i="32" s="1"/>
  <c r="Q97" i="29"/>
  <c r="C97" i="29" s="1"/>
  <c r="M163" i="33"/>
  <c r="L163" i="33"/>
  <c r="C165" i="32" s="1"/>
  <c r="O163" i="33"/>
  <c r="N163" i="33"/>
  <c r="E12" i="32"/>
  <c r="S14" i="29" s="1"/>
  <c r="E14" i="29" s="1"/>
  <c r="F12" i="32"/>
  <c r="T14" i="29" s="1"/>
  <c r="F14" i="29" s="1"/>
  <c r="D12" i="32"/>
  <c r="R14" i="29" s="1"/>
  <c r="D14" i="29" s="1"/>
  <c r="E281" i="32"/>
  <c r="S283" i="29" s="1"/>
  <c r="E283" i="29" s="1"/>
  <c r="F281" i="32"/>
  <c r="T283" i="29" s="1"/>
  <c r="F283" i="29" s="1"/>
  <c r="D281" i="32"/>
  <c r="R283" i="29" s="1"/>
  <c r="D283" i="29" s="1"/>
  <c r="Q51" i="29"/>
  <c r="F75" i="32"/>
  <c r="T78" i="29" s="1"/>
  <c r="F78" i="29" s="1"/>
  <c r="O140" i="33"/>
  <c r="N140" i="33"/>
  <c r="M140" i="33"/>
  <c r="L140" i="33"/>
  <c r="P172" i="33"/>
  <c r="G174" i="32" s="1"/>
  <c r="U177" i="29" s="1"/>
  <c r="G177" i="29" s="1"/>
  <c r="F94" i="32"/>
  <c r="T97" i="29" s="1"/>
  <c r="F97" i="29" s="1"/>
  <c r="E94" i="32"/>
  <c r="S97" i="29" s="1"/>
  <c r="E97" i="29" s="1"/>
  <c r="D94" i="32"/>
  <c r="C123" i="32"/>
  <c r="P121" i="33"/>
  <c r="O96" i="33"/>
  <c r="N96" i="33"/>
  <c r="M96" i="33"/>
  <c r="L96" i="33"/>
  <c r="C98" i="32" s="1"/>
  <c r="Q164" i="33"/>
  <c r="P293" i="33"/>
  <c r="G296" i="32" s="1"/>
  <c r="U298" i="29" s="1"/>
  <c r="G298" i="29" s="1"/>
  <c r="P291" i="33"/>
  <c r="G294" i="32" s="1"/>
  <c r="U296" i="29" s="1"/>
  <c r="G296" i="29" s="1"/>
  <c r="D48" i="32"/>
  <c r="R51" i="29" s="1"/>
  <c r="D51" i="29" s="1"/>
  <c r="F48" i="32"/>
  <c r="T51" i="29" s="1"/>
  <c r="F51" i="29" s="1"/>
  <c r="E48" i="32"/>
  <c r="S51" i="29" s="1"/>
  <c r="E51" i="29" s="1"/>
  <c r="Q177" i="29"/>
  <c r="C177" i="29" s="1"/>
  <c r="P92" i="33"/>
  <c r="G94" i="32" s="1"/>
  <c r="U97" i="29" s="1"/>
  <c r="G97" i="29" s="1"/>
  <c r="C232" i="32"/>
  <c r="P229" i="33"/>
  <c r="G232" i="32" s="1"/>
  <c r="U234" i="29" s="1"/>
  <c r="G234" i="29" s="1"/>
  <c r="F192" i="32"/>
  <c r="T195" i="29" s="1"/>
  <c r="F195" i="29" s="1"/>
  <c r="E192" i="32"/>
  <c r="S195" i="29" s="1"/>
  <c r="E195" i="29" s="1"/>
  <c r="D192" i="32"/>
  <c r="R195" i="29" s="1"/>
  <c r="D195" i="29" s="1"/>
  <c r="P220" i="33"/>
  <c r="AD277" i="32"/>
  <c r="L279" i="28" s="1"/>
  <c r="M279" i="28" s="1"/>
  <c r="P184" i="33"/>
  <c r="G186" i="32" s="1"/>
  <c r="U189" i="29" s="1"/>
  <c r="G189" i="29" s="1"/>
  <c r="E174" i="32"/>
  <c r="S177" i="29" s="1"/>
  <c r="E177" i="29" s="1"/>
  <c r="D174" i="32"/>
  <c r="R177" i="29" s="1"/>
  <c r="D177" i="29" s="1"/>
  <c r="F174" i="32"/>
  <c r="T177" i="29" s="1"/>
  <c r="F177" i="29" s="1"/>
  <c r="E149" i="32"/>
  <c r="S151" i="29" s="1"/>
  <c r="E151" i="29" s="1"/>
  <c r="D149" i="32"/>
  <c r="R151" i="29" s="1"/>
  <c r="D151" i="29" s="1"/>
  <c r="F149" i="32"/>
  <c r="T151" i="29" s="1"/>
  <c r="F151" i="29" s="1"/>
  <c r="E119" i="32"/>
  <c r="S122" i="29" s="1"/>
  <c r="E122" i="29" s="1"/>
  <c r="D119" i="32"/>
  <c r="R122" i="29" s="1"/>
  <c r="D122" i="29" s="1"/>
  <c r="F119" i="32"/>
  <c r="T122" i="29" s="1"/>
  <c r="F122" i="29" s="1"/>
  <c r="F232" i="32"/>
  <c r="T234" i="29" s="1"/>
  <c r="F234" i="29" s="1"/>
  <c r="E232" i="32"/>
  <c r="S234" i="29" s="1"/>
  <c r="E234" i="29" s="1"/>
  <c r="D232" i="32"/>
  <c r="R234" i="29" s="1"/>
  <c r="D234" i="29" s="1"/>
  <c r="P104" i="33"/>
  <c r="G106" i="32" s="1"/>
  <c r="P296" i="33"/>
  <c r="G299" i="32" s="1"/>
  <c r="U301" i="29" s="1"/>
  <c r="G301" i="29" s="1"/>
  <c r="P175" i="33"/>
  <c r="G177" i="32" s="1"/>
  <c r="U180" i="29" s="1"/>
  <c r="G180" i="29" s="1"/>
  <c r="P29" i="33"/>
  <c r="G31" i="32" s="1"/>
  <c r="U34" i="29" s="1"/>
  <c r="G34" i="29" s="1"/>
  <c r="P130" i="33"/>
  <c r="G132" i="32" s="1"/>
  <c r="U135" i="29" s="1"/>
  <c r="G135" i="29" s="1"/>
  <c r="P93" i="33"/>
  <c r="G95" i="32" s="1"/>
  <c r="U98" i="29" s="1"/>
  <c r="G98" i="29" s="1"/>
  <c r="Q113" i="29"/>
  <c r="AD110" i="32"/>
  <c r="L113" i="28" s="1"/>
  <c r="M113" i="28" s="1"/>
  <c r="AC110" i="32"/>
  <c r="F223" i="32"/>
  <c r="T225" i="29" s="1"/>
  <c r="F225" i="29" s="1"/>
  <c r="E223" i="32"/>
  <c r="S225" i="29" s="1"/>
  <c r="E225" i="29" s="1"/>
  <c r="D223" i="32"/>
  <c r="R225" i="29" s="1"/>
  <c r="D225" i="29" s="1"/>
  <c r="C192" i="32"/>
  <c r="Q195" i="29" s="1"/>
  <c r="C195" i="29" s="1"/>
  <c r="P190" i="33"/>
  <c r="Q109" i="29"/>
  <c r="P103" i="33"/>
  <c r="G105" i="32" s="1"/>
  <c r="U108" i="29" s="1"/>
  <c r="G108" i="29" s="1"/>
  <c r="P46" i="33"/>
  <c r="G48" i="32" s="1"/>
  <c r="U51" i="29" s="1"/>
  <c r="G51" i="29" s="1"/>
  <c r="C108" i="32"/>
  <c r="P106" i="33"/>
  <c r="G108" i="32" s="1"/>
  <c r="U110" i="29" s="1"/>
  <c r="G110" i="29" s="1"/>
  <c r="O215" i="33"/>
  <c r="N215" i="33"/>
  <c r="L215" i="33"/>
  <c r="C218" i="32" s="1"/>
  <c r="M215" i="33"/>
  <c r="C275" i="32"/>
  <c r="Q272" i="33"/>
  <c r="F106" i="32"/>
  <c r="T109" i="29" s="1"/>
  <c r="F109" i="29" s="1"/>
  <c r="E106" i="32"/>
  <c r="S109" i="29" s="1"/>
  <c r="E109" i="29" s="1"/>
  <c r="D106" i="32"/>
  <c r="R109" i="29" s="1"/>
  <c r="D109" i="29" s="1"/>
  <c r="P33" i="33"/>
  <c r="G35" i="32" s="1"/>
  <c r="U38" i="29" s="1"/>
  <c r="G38" i="29" s="1"/>
  <c r="Q180" i="33"/>
  <c r="P294" i="33"/>
  <c r="G297" i="32" s="1"/>
  <c r="U299" i="29" s="1"/>
  <c r="G299" i="29" s="1"/>
  <c r="AD207" i="32"/>
  <c r="L210" i="28" s="1"/>
  <c r="M210" i="28" s="1"/>
  <c r="P40" i="33"/>
  <c r="G42" i="32" s="1"/>
  <c r="U45" i="29" s="1"/>
  <c r="G45" i="29" s="1"/>
  <c r="P64" i="33"/>
  <c r="G66" i="32" s="1"/>
  <c r="U69" i="29" s="1"/>
  <c r="G69" i="29" s="1"/>
  <c r="P88" i="33"/>
  <c r="Q88" i="33" s="1"/>
  <c r="P67" i="33"/>
  <c r="G69" i="32" s="1"/>
  <c r="U72" i="29" s="1"/>
  <c r="G72" i="29" s="1"/>
  <c r="P208" i="33"/>
  <c r="G211" i="32" s="1"/>
  <c r="U213" i="29" s="1"/>
  <c r="G213" i="29" s="1"/>
  <c r="E108" i="32"/>
  <c r="S110" i="29" s="1"/>
  <c r="E110" i="29" s="1"/>
  <c r="D108" i="32"/>
  <c r="R110" i="29" s="1"/>
  <c r="D110" i="29" s="1"/>
  <c r="F108" i="32"/>
  <c r="T110" i="29" s="1"/>
  <c r="F110" i="29" s="1"/>
  <c r="C25" i="32"/>
  <c r="Q89" i="29"/>
  <c r="R65" i="29"/>
  <c r="AD62" i="32"/>
  <c r="L65" i="28" s="1"/>
  <c r="M65" i="28" s="1"/>
  <c r="C266" i="32"/>
  <c r="Q268" i="29" s="1"/>
  <c r="C268" i="29" s="1"/>
  <c r="P263" i="33"/>
  <c r="E275" i="32"/>
  <c r="S277" i="29" s="1"/>
  <c r="E277" i="29" s="1"/>
  <c r="D275" i="32"/>
  <c r="R277" i="29" s="1"/>
  <c r="D277" i="29" s="1"/>
  <c r="F275" i="32"/>
  <c r="T277" i="29" s="1"/>
  <c r="F277" i="29" s="1"/>
  <c r="P117" i="33"/>
  <c r="G119" i="32" s="1"/>
  <c r="U122" i="29" s="1"/>
  <c r="G122" i="29" s="1"/>
  <c r="G109" i="32"/>
  <c r="U112" i="29" s="1"/>
  <c r="G112" i="29" s="1"/>
  <c r="AG197" i="32"/>
  <c r="G199" i="28"/>
  <c r="H199" i="28" s="1"/>
  <c r="G16" i="32"/>
  <c r="U19" i="29" s="1"/>
  <c r="G19" i="29" s="1"/>
  <c r="Q14" i="33"/>
  <c r="AG308" i="32"/>
  <c r="G306" i="28"/>
  <c r="H306" i="28" s="1"/>
  <c r="AD196" i="32"/>
  <c r="L198" i="28" s="1"/>
  <c r="M198" i="28" s="1"/>
  <c r="M76" i="33"/>
  <c r="L76" i="33"/>
  <c r="C78" i="32" s="1"/>
  <c r="O76" i="33"/>
  <c r="N76" i="33"/>
  <c r="Q160" i="29"/>
  <c r="C160" i="29" s="1"/>
  <c r="F233" i="32"/>
  <c r="T235" i="29" s="1"/>
  <c r="F235" i="29" s="1"/>
  <c r="D233" i="32"/>
  <c r="R235" i="29" s="1"/>
  <c r="D235" i="29" s="1"/>
  <c r="E233" i="32"/>
  <c r="S235" i="29" s="1"/>
  <c r="E235" i="29" s="1"/>
  <c r="E171" i="32"/>
  <c r="S174" i="29" s="1"/>
  <c r="E174" i="29" s="1"/>
  <c r="D171" i="32"/>
  <c r="R174" i="29" s="1"/>
  <c r="D174" i="29" s="1"/>
  <c r="F171" i="32"/>
  <c r="T174" i="29" s="1"/>
  <c r="F174" i="29" s="1"/>
  <c r="F97" i="32"/>
  <c r="T100" i="29" s="1"/>
  <c r="F100" i="29" s="1"/>
  <c r="E97" i="32"/>
  <c r="S100" i="29" s="1"/>
  <c r="E100" i="29" s="1"/>
  <c r="D97" i="32"/>
  <c r="R100" i="29" s="1"/>
  <c r="D100" i="29" s="1"/>
  <c r="P218" i="33"/>
  <c r="G221" i="32" s="1"/>
  <c r="U223" i="29" s="1"/>
  <c r="G223" i="29" s="1"/>
  <c r="Q23" i="29"/>
  <c r="C23" i="29" s="1"/>
  <c r="AG96" i="32"/>
  <c r="G99" i="28"/>
  <c r="H99" i="28" s="1"/>
  <c r="O268" i="33"/>
  <c r="N268" i="33"/>
  <c r="L268" i="33"/>
  <c r="C271" i="32" s="1"/>
  <c r="M268" i="33"/>
  <c r="U224" i="29"/>
  <c r="G224" i="29" s="1"/>
  <c r="AC222" i="32"/>
  <c r="AD222" i="32"/>
  <c r="L224" i="28" s="1"/>
  <c r="M224" i="28" s="1"/>
  <c r="AD200" i="32"/>
  <c r="L202" i="28" s="1"/>
  <c r="M202" i="28" s="1"/>
  <c r="P195" i="33"/>
  <c r="G198" i="32" s="1"/>
  <c r="U200" i="29" s="1"/>
  <c r="G200" i="29" s="1"/>
  <c r="Q107" i="29"/>
  <c r="C107" i="29" s="1"/>
  <c r="G148" i="32"/>
  <c r="U150" i="29" s="1"/>
  <c r="G150" i="29" s="1"/>
  <c r="Q145" i="33"/>
  <c r="F102" i="32"/>
  <c r="T105" i="29" s="1"/>
  <c r="F105" i="29" s="1"/>
  <c r="E102" i="32"/>
  <c r="S105" i="29" s="1"/>
  <c r="E105" i="29" s="1"/>
  <c r="D102" i="32"/>
  <c r="R105" i="29" s="1"/>
  <c r="D105" i="29" s="1"/>
  <c r="Q80" i="29"/>
  <c r="C80" i="29" s="1"/>
  <c r="O118" i="33"/>
  <c r="L118" i="33"/>
  <c r="C120" i="32" s="1"/>
  <c r="M118" i="33"/>
  <c r="N118" i="33"/>
  <c r="Q204" i="33"/>
  <c r="G187" i="32"/>
  <c r="U190" i="29" s="1"/>
  <c r="G190" i="29" s="1"/>
  <c r="Q185" i="33"/>
  <c r="P214" i="33"/>
  <c r="G217" i="32" s="1"/>
  <c r="U219" i="29" s="1"/>
  <c r="G219" i="29" s="1"/>
  <c r="Q149" i="29"/>
  <c r="C149" i="29" s="1"/>
  <c r="Q31" i="29"/>
  <c r="C31" i="29" s="1"/>
  <c r="O258" i="33"/>
  <c r="N258" i="33"/>
  <c r="M258" i="33"/>
  <c r="L258" i="33"/>
  <c r="C261" i="32" s="1"/>
  <c r="AC267" i="32"/>
  <c r="Q43" i="29"/>
  <c r="C43" i="29" s="1"/>
  <c r="AG170" i="32"/>
  <c r="G173" i="28"/>
  <c r="H173" i="28" s="1"/>
  <c r="F115" i="32"/>
  <c r="T118" i="29" s="1"/>
  <c r="F118" i="29" s="1"/>
  <c r="E115" i="32"/>
  <c r="S118" i="29" s="1"/>
  <c r="E118" i="29" s="1"/>
  <c r="D115" i="32"/>
  <c r="R118" i="29" s="1"/>
  <c r="D118" i="29" s="1"/>
  <c r="AG122" i="32"/>
  <c r="G125" i="28"/>
  <c r="H125" i="28" s="1"/>
  <c r="Q156" i="29"/>
  <c r="C156" i="29" s="1"/>
  <c r="Q162" i="29"/>
  <c r="C162" i="29" s="1"/>
  <c r="Q124" i="33"/>
  <c r="Q242" i="29"/>
  <c r="C242" i="29" s="1"/>
  <c r="P187" i="33"/>
  <c r="G189" i="32" s="1"/>
  <c r="U192" i="29" s="1"/>
  <c r="G192" i="29" s="1"/>
  <c r="F226" i="32"/>
  <c r="T228" i="29" s="1"/>
  <c r="F228" i="29" s="1"/>
  <c r="E226" i="32"/>
  <c r="S228" i="29" s="1"/>
  <c r="E228" i="29" s="1"/>
  <c r="D226" i="32"/>
  <c r="R228" i="29" s="1"/>
  <c r="D228" i="29" s="1"/>
  <c r="E247" i="32"/>
  <c r="S249" i="29" s="1"/>
  <c r="E249" i="29" s="1"/>
  <c r="D247" i="32"/>
  <c r="R249" i="29" s="1"/>
  <c r="D249" i="29" s="1"/>
  <c r="F247" i="32"/>
  <c r="T249" i="29" s="1"/>
  <c r="F249" i="29" s="1"/>
  <c r="X319" i="29"/>
  <c r="W319" i="29"/>
  <c r="AG312" i="32"/>
  <c r="G314" i="28"/>
  <c r="H314" i="28" s="1"/>
  <c r="E243" i="32"/>
  <c r="S245" i="29" s="1"/>
  <c r="E245" i="29" s="1"/>
  <c r="D243" i="32"/>
  <c r="R245" i="29" s="1"/>
  <c r="D245" i="29" s="1"/>
  <c r="F243" i="32"/>
  <c r="T245" i="29" s="1"/>
  <c r="F245" i="29" s="1"/>
  <c r="P235" i="33"/>
  <c r="G238" i="32" s="1"/>
  <c r="U240" i="29" s="1"/>
  <c r="G240" i="29" s="1"/>
  <c r="P169" i="33"/>
  <c r="G171" i="32" s="1"/>
  <c r="U174" i="29" s="1"/>
  <c r="G174" i="29" s="1"/>
  <c r="Q152" i="29"/>
  <c r="C152" i="29" s="1"/>
  <c r="D166" i="32"/>
  <c r="R169" i="29" s="1"/>
  <c r="D169" i="29" s="1"/>
  <c r="F166" i="32"/>
  <c r="T169" i="29" s="1"/>
  <c r="F169" i="29" s="1"/>
  <c r="E166" i="32"/>
  <c r="S169" i="29" s="1"/>
  <c r="E169" i="29" s="1"/>
  <c r="F20" i="32"/>
  <c r="T23" i="29" s="1"/>
  <c r="F23" i="29" s="1"/>
  <c r="E20" i="32"/>
  <c r="S23" i="29" s="1"/>
  <c r="E23" i="29" s="1"/>
  <c r="D20" i="32"/>
  <c r="R23" i="29" s="1"/>
  <c r="D23" i="29" s="1"/>
  <c r="Q294" i="29"/>
  <c r="C294" i="29" s="1"/>
  <c r="AC200" i="32"/>
  <c r="AD173" i="32"/>
  <c r="L176" i="28" s="1"/>
  <c r="M176" i="28" s="1"/>
  <c r="F56" i="32"/>
  <c r="T59" i="29" s="1"/>
  <c r="F59" i="29" s="1"/>
  <c r="E56" i="32"/>
  <c r="S59" i="29" s="1"/>
  <c r="E59" i="29" s="1"/>
  <c r="D56" i="32"/>
  <c r="R59" i="29" s="1"/>
  <c r="D59" i="29" s="1"/>
  <c r="N27" i="33"/>
  <c r="M27" i="33"/>
  <c r="L27" i="33"/>
  <c r="C29" i="32" s="1"/>
  <c r="O27" i="33"/>
  <c r="P159" i="33"/>
  <c r="G161" i="32" s="1"/>
  <c r="U164" i="29" s="1"/>
  <c r="G164" i="29" s="1"/>
  <c r="F104" i="32"/>
  <c r="T107" i="29" s="1"/>
  <c r="F107" i="29" s="1"/>
  <c r="E104" i="32"/>
  <c r="S107" i="29" s="1"/>
  <c r="E107" i="29" s="1"/>
  <c r="D104" i="32"/>
  <c r="R107" i="29" s="1"/>
  <c r="D107" i="29" s="1"/>
  <c r="F268" i="32"/>
  <c r="T270" i="29" s="1"/>
  <c r="F270" i="29" s="1"/>
  <c r="E268" i="32"/>
  <c r="S270" i="29" s="1"/>
  <c r="E270" i="29" s="1"/>
  <c r="D268" i="32"/>
  <c r="R270" i="29" s="1"/>
  <c r="D270" i="29" s="1"/>
  <c r="Q124" i="29"/>
  <c r="C124" i="29" s="1"/>
  <c r="Q175" i="33"/>
  <c r="AD100" i="32"/>
  <c r="L103" i="28" s="1"/>
  <c r="M103" i="28" s="1"/>
  <c r="P116" i="33"/>
  <c r="G118" i="32" s="1"/>
  <c r="U121" i="29" s="1"/>
  <c r="G121" i="29" s="1"/>
  <c r="P222" i="33"/>
  <c r="G225" i="32" s="1"/>
  <c r="U227" i="29" s="1"/>
  <c r="G227" i="29" s="1"/>
  <c r="AC126" i="32"/>
  <c r="AG46" i="32"/>
  <c r="G49" i="28"/>
  <c r="H49" i="28" s="1"/>
  <c r="O191" i="33"/>
  <c r="N191" i="33"/>
  <c r="M191" i="33"/>
  <c r="L191" i="33"/>
  <c r="C193" i="32" s="1"/>
  <c r="F28" i="32"/>
  <c r="T31" i="29" s="1"/>
  <c r="F31" i="29" s="1"/>
  <c r="E28" i="32"/>
  <c r="S31" i="29" s="1"/>
  <c r="E31" i="29" s="1"/>
  <c r="D28" i="32"/>
  <c r="R31" i="29" s="1"/>
  <c r="D31" i="29" s="1"/>
  <c r="Q193" i="29"/>
  <c r="C193" i="29" s="1"/>
  <c r="P183" i="33"/>
  <c r="G185" i="32" s="1"/>
  <c r="U188" i="29" s="1"/>
  <c r="G188" i="29" s="1"/>
  <c r="P286" i="33"/>
  <c r="G289" i="32" s="1"/>
  <c r="U291" i="29" s="1"/>
  <c r="G291" i="29" s="1"/>
  <c r="AD267" i="32"/>
  <c r="L269" i="28" s="1"/>
  <c r="M269" i="28" s="1"/>
  <c r="F40" i="32"/>
  <c r="T43" i="29" s="1"/>
  <c r="F43" i="29" s="1"/>
  <c r="E40" i="32"/>
  <c r="S43" i="29" s="1"/>
  <c r="E43" i="29" s="1"/>
  <c r="D40" i="32"/>
  <c r="R43" i="29" s="1"/>
  <c r="D43" i="29" s="1"/>
  <c r="F89" i="32"/>
  <c r="T92" i="29" s="1"/>
  <c r="F92" i="29" s="1"/>
  <c r="E89" i="32"/>
  <c r="S92" i="29" s="1"/>
  <c r="E92" i="29" s="1"/>
  <c r="D89" i="32"/>
  <c r="R92" i="29" s="1"/>
  <c r="D92" i="29" s="1"/>
  <c r="F65" i="32"/>
  <c r="T68" i="29" s="1"/>
  <c r="F68" i="29" s="1"/>
  <c r="E65" i="32"/>
  <c r="S68" i="29" s="1"/>
  <c r="E68" i="29" s="1"/>
  <c r="D65" i="32"/>
  <c r="R68" i="29" s="1"/>
  <c r="D68" i="29" s="1"/>
  <c r="Q25" i="29"/>
  <c r="C25" i="29" s="1"/>
  <c r="F154" i="32"/>
  <c r="T156" i="29" s="1"/>
  <c r="F156" i="29" s="1"/>
  <c r="E154" i="32"/>
  <c r="S156" i="29" s="1"/>
  <c r="E156" i="29" s="1"/>
  <c r="D154" i="32"/>
  <c r="R156" i="29" s="1"/>
  <c r="D156" i="29" s="1"/>
  <c r="Q149" i="33"/>
  <c r="Q212" i="33"/>
  <c r="O216" i="33"/>
  <c r="M216" i="33"/>
  <c r="L216" i="33"/>
  <c r="C219" i="32" s="1"/>
  <c r="N216" i="33"/>
  <c r="Q249" i="29"/>
  <c r="C249" i="29" s="1"/>
  <c r="Q192" i="29"/>
  <c r="C192" i="29" s="1"/>
  <c r="AG85" i="32"/>
  <c r="G88" i="28"/>
  <c r="H88" i="28" s="1"/>
  <c r="W324" i="29"/>
  <c r="X324" i="29"/>
  <c r="O174" i="33"/>
  <c r="N174" i="33"/>
  <c r="L174" i="33"/>
  <c r="C176" i="32" s="1"/>
  <c r="M174" i="33"/>
  <c r="Q245" i="29"/>
  <c r="C245" i="29" s="1"/>
  <c r="O292" i="33"/>
  <c r="N292" i="33"/>
  <c r="M292" i="33"/>
  <c r="L292" i="33"/>
  <c r="C295" i="32" s="1"/>
  <c r="Q230" i="33"/>
  <c r="Q67" i="29"/>
  <c r="C67" i="29" s="1"/>
  <c r="P36" i="33"/>
  <c r="G38" i="32" s="1"/>
  <c r="U41" i="29" s="1"/>
  <c r="G41" i="29" s="1"/>
  <c r="P147" i="33"/>
  <c r="G150" i="32" s="1"/>
  <c r="U152" i="29" s="1"/>
  <c r="G152" i="29" s="1"/>
  <c r="Q244" i="29"/>
  <c r="C244" i="29" s="1"/>
  <c r="D292" i="32"/>
  <c r="R294" i="29" s="1"/>
  <c r="D294" i="29" s="1"/>
  <c r="F292" i="32"/>
  <c r="T294" i="29" s="1"/>
  <c r="F294" i="29" s="1"/>
  <c r="E292" i="32"/>
  <c r="S294" i="29" s="1"/>
  <c r="E294" i="29" s="1"/>
  <c r="O198" i="33"/>
  <c r="N198" i="33"/>
  <c r="M198" i="33"/>
  <c r="L198" i="33"/>
  <c r="C201" i="32" s="1"/>
  <c r="AC173" i="32"/>
  <c r="Q59" i="29"/>
  <c r="C59" i="29" s="1"/>
  <c r="Q69" i="29"/>
  <c r="C69" i="29" s="1"/>
  <c r="D121" i="32"/>
  <c r="R124" i="29" s="1"/>
  <c r="D124" i="29" s="1"/>
  <c r="F121" i="32"/>
  <c r="T124" i="29" s="1"/>
  <c r="F124" i="29" s="1"/>
  <c r="E121" i="32"/>
  <c r="S124" i="29" s="1"/>
  <c r="E124" i="29" s="1"/>
  <c r="P233" i="33"/>
  <c r="G236" i="32" s="1"/>
  <c r="U238" i="29" s="1"/>
  <c r="G238" i="29" s="1"/>
  <c r="AG258" i="32"/>
  <c r="G260" i="28"/>
  <c r="H260" i="28" s="1"/>
  <c r="Q106" i="29"/>
  <c r="C106" i="29" s="1"/>
  <c r="E230" i="32"/>
  <c r="S232" i="29" s="1"/>
  <c r="E232" i="29" s="1"/>
  <c r="D230" i="32"/>
  <c r="R232" i="29" s="1"/>
  <c r="D232" i="29" s="1"/>
  <c r="F230" i="32"/>
  <c r="T232" i="29" s="1"/>
  <c r="F232" i="29" s="1"/>
  <c r="Q143" i="29"/>
  <c r="C143" i="29" s="1"/>
  <c r="O228" i="33"/>
  <c r="N228" i="33"/>
  <c r="M228" i="33"/>
  <c r="L228" i="33"/>
  <c r="C231" i="32" s="1"/>
  <c r="AD126" i="32"/>
  <c r="L129" i="28" s="1"/>
  <c r="M129" i="28" s="1"/>
  <c r="Q82" i="33"/>
  <c r="F217" i="32"/>
  <c r="T219" i="29" s="1"/>
  <c r="F219" i="29" s="1"/>
  <c r="E217" i="32"/>
  <c r="S219" i="29" s="1"/>
  <c r="E219" i="29" s="1"/>
  <c r="D217" i="32"/>
  <c r="R219" i="29" s="1"/>
  <c r="D219" i="29" s="1"/>
  <c r="F190" i="32"/>
  <c r="T193" i="29" s="1"/>
  <c r="F193" i="29" s="1"/>
  <c r="E190" i="32"/>
  <c r="S193" i="29" s="1"/>
  <c r="E193" i="29" s="1"/>
  <c r="D190" i="32"/>
  <c r="R193" i="29" s="1"/>
  <c r="D193" i="29" s="1"/>
  <c r="N261" i="33"/>
  <c r="M261" i="33"/>
  <c r="L261" i="33"/>
  <c r="C264" i="32" s="1"/>
  <c r="O261" i="33"/>
  <c r="Q286" i="29"/>
  <c r="C286" i="29" s="1"/>
  <c r="F211" i="32"/>
  <c r="T213" i="29" s="1"/>
  <c r="F213" i="29" s="1"/>
  <c r="E211" i="32"/>
  <c r="S213" i="29" s="1"/>
  <c r="E213" i="29" s="1"/>
  <c r="D211" i="32"/>
  <c r="R213" i="29" s="1"/>
  <c r="D213" i="29" s="1"/>
  <c r="P277" i="33"/>
  <c r="G280" i="32" s="1"/>
  <c r="U282" i="29" s="1"/>
  <c r="G282" i="29" s="1"/>
  <c r="AC44" i="32"/>
  <c r="O74" i="33"/>
  <c r="N74" i="33"/>
  <c r="M74" i="33"/>
  <c r="L74" i="33"/>
  <c r="C76" i="32" s="1"/>
  <c r="Q68" i="29"/>
  <c r="C68" i="29" s="1"/>
  <c r="AC309" i="32"/>
  <c r="P20" i="33"/>
  <c r="G22" i="32" s="1"/>
  <c r="U25" i="29" s="1"/>
  <c r="G25" i="29" s="1"/>
  <c r="Q163" i="29"/>
  <c r="C163" i="29" s="1"/>
  <c r="Q288" i="33"/>
  <c r="Q25" i="33"/>
  <c r="G59" i="32"/>
  <c r="Q57" i="33"/>
  <c r="AG212" i="32"/>
  <c r="G214" i="28"/>
  <c r="H214" i="28" s="1"/>
  <c r="P297" i="33"/>
  <c r="G300" i="32" s="1"/>
  <c r="U302" i="29" s="1"/>
  <c r="G302" i="29" s="1"/>
  <c r="E240" i="32"/>
  <c r="S242" i="29" s="1"/>
  <c r="E242" i="29" s="1"/>
  <c r="D240" i="32"/>
  <c r="R242" i="29" s="1"/>
  <c r="D242" i="29" s="1"/>
  <c r="F240" i="32"/>
  <c r="T242" i="29" s="1"/>
  <c r="F242" i="29" s="1"/>
  <c r="Q171" i="29"/>
  <c r="C171" i="29" s="1"/>
  <c r="L148" i="33"/>
  <c r="C151" i="32" s="1"/>
  <c r="O148" i="33"/>
  <c r="N148" i="33"/>
  <c r="M148" i="33"/>
  <c r="P223" i="33"/>
  <c r="G226" i="32" s="1"/>
  <c r="U228" i="29" s="1"/>
  <c r="G228" i="29" s="1"/>
  <c r="Q147" i="29"/>
  <c r="C147" i="29" s="1"/>
  <c r="N167" i="33"/>
  <c r="O167" i="33"/>
  <c r="M167" i="33"/>
  <c r="L167" i="33"/>
  <c r="C169" i="32" s="1"/>
  <c r="F238" i="32"/>
  <c r="T240" i="29" s="1"/>
  <c r="F240" i="29" s="1"/>
  <c r="E238" i="32"/>
  <c r="S240" i="29" s="1"/>
  <c r="E240" i="29" s="1"/>
  <c r="D238" i="32"/>
  <c r="R240" i="29" s="1"/>
  <c r="D240" i="29" s="1"/>
  <c r="F64" i="32"/>
  <c r="T67" i="29" s="1"/>
  <c r="F67" i="29" s="1"/>
  <c r="E64" i="32"/>
  <c r="S67" i="29" s="1"/>
  <c r="E67" i="29" s="1"/>
  <c r="D64" i="32"/>
  <c r="R67" i="29" s="1"/>
  <c r="D67" i="29" s="1"/>
  <c r="Q100" i="29"/>
  <c r="C100" i="29" s="1"/>
  <c r="F242" i="32"/>
  <c r="T244" i="29" s="1"/>
  <c r="F244" i="29" s="1"/>
  <c r="E242" i="32"/>
  <c r="S244" i="29" s="1"/>
  <c r="E244" i="29" s="1"/>
  <c r="D242" i="32"/>
  <c r="R244" i="29" s="1"/>
  <c r="D244" i="29" s="1"/>
  <c r="AC164" i="32"/>
  <c r="E66" i="32"/>
  <c r="S69" i="29" s="1"/>
  <c r="E69" i="29" s="1"/>
  <c r="F66" i="32"/>
  <c r="T69" i="29" s="1"/>
  <c r="F69" i="29" s="1"/>
  <c r="D66" i="32"/>
  <c r="R69" i="29" s="1"/>
  <c r="D69" i="29" s="1"/>
  <c r="P126" i="33"/>
  <c r="G128" i="32" s="1"/>
  <c r="U131" i="29" s="1"/>
  <c r="G131" i="29" s="1"/>
  <c r="AG269" i="32"/>
  <c r="G271" i="28"/>
  <c r="H271" i="28" s="1"/>
  <c r="Q270" i="29"/>
  <c r="C270" i="29" s="1"/>
  <c r="Q180" i="29"/>
  <c r="C180" i="29" s="1"/>
  <c r="F103" i="32"/>
  <c r="T106" i="29" s="1"/>
  <c r="F106" i="29" s="1"/>
  <c r="E103" i="32"/>
  <c r="S106" i="29" s="1"/>
  <c r="E106" i="29" s="1"/>
  <c r="D103" i="32"/>
  <c r="R106" i="29" s="1"/>
  <c r="D106" i="29" s="1"/>
  <c r="Q227" i="33"/>
  <c r="F141" i="32"/>
  <c r="T143" i="29" s="1"/>
  <c r="F143" i="29" s="1"/>
  <c r="E141" i="32"/>
  <c r="S143" i="29" s="1"/>
  <c r="E143" i="29" s="1"/>
  <c r="D141" i="32"/>
  <c r="R143" i="29" s="1"/>
  <c r="D143" i="29" s="1"/>
  <c r="Q72" i="29"/>
  <c r="C72" i="29" s="1"/>
  <c r="Q175" i="29"/>
  <c r="C175" i="29" s="1"/>
  <c r="O280" i="33"/>
  <c r="N280" i="33"/>
  <c r="M280" i="33"/>
  <c r="L280" i="33"/>
  <c r="C283" i="32" s="1"/>
  <c r="P144" i="33"/>
  <c r="G147" i="32" s="1"/>
  <c r="U149" i="29" s="1"/>
  <c r="G149" i="29" s="1"/>
  <c r="P251" i="33"/>
  <c r="G254" i="32" s="1"/>
  <c r="U256" i="29" s="1"/>
  <c r="G256" i="29" s="1"/>
  <c r="P17" i="33"/>
  <c r="G19" i="32" s="1"/>
  <c r="U22" i="29" s="1"/>
  <c r="G22" i="29" s="1"/>
  <c r="Q291" i="29"/>
  <c r="C291" i="29" s="1"/>
  <c r="F284" i="32"/>
  <c r="T286" i="29" s="1"/>
  <c r="F286" i="29" s="1"/>
  <c r="E284" i="32"/>
  <c r="S286" i="29" s="1"/>
  <c r="E286" i="29" s="1"/>
  <c r="D284" i="32"/>
  <c r="R286" i="29" s="1"/>
  <c r="D286" i="29" s="1"/>
  <c r="AC285" i="32"/>
  <c r="AD44" i="32"/>
  <c r="L47" i="28" s="1"/>
  <c r="M47" i="28" s="1"/>
  <c r="D34" i="32"/>
  <c r="R37" i="29" s="1"/>
  <c r="D37" i="29" s="1"/>
  <c r="F34" i="32"/>
  <c r="T37" i="29" s="1"/>
  <c r="F37" i="29" s="1"/>
  <c r="E34" i="32"/>
  <c r="S37" i="29" s="1"/>
  <c r="E37" i="29" s="1"/>
  <c r="AD309" i="32"/>
  <c r="L311" i="28" s="1"/>
  <c r="M311" i="28" s="1"/>
  <c r="P97" i="33"/>
  <c r="F22" i="32"/>
  <c r="T25" i="29" s="1"/>
  <c r="F25" i="29" s="1"/>
  <c r="E22" i="32"/>
  <c r="S25" i="29" s="1"/>
  <c r="E25" i="29" s="1"/>
  <c r="D22" i="32"/>
  <c r="R25" i="29" s="1"/>
  <c r="D25" i="29" s="1"/>
  <c r="F160" i="32"/>
  <c r="T163" i="29" s="1"/>
  <c r="F163" i="29" s="1"/>
  <c r="E160" i="32"/>
  <c r="S163" i="29" s="1"/>
  <c r="E163" i="29" s="1"/>
  <c r="D160" i="32"/>
  <c r="R163" i="29" s="1"/>
  <c r="D163" i="29" s="1"/>
  <c r="Q308" i="33"/>
  <c r="G208" i="32"/>
  <c r="Q202" i="33"/>
  <c r="Q117" i="29"/>
  <c r="C117" i="29" s="1"/>
  <c r="Q228" i="29"/>
  <c r="C228" i="29" s="1"/>
  <c r="F79" i="32"/>
  <c r="T82" i="29" s="1"/>
  <c r="F82" i="29" s="1"/>
  <c r="D79" i="32"/>
  <c r="R82" i="29" s="1"/>
  <c r="D82" i="29" s="1"/>
  <c r="E79" i="32"/>
  <c r="S82" i="29" s="1"/>
  <c r="E82" i="29" s="1"/>
  <c r="Q194" i="29"/>
  <c r="C194" i="29" s="1"/>
  <c r="O186" i="33"/>
  <c r="N186" i="33"/>
  <c r="M186" i="33"/>
  <c r="L186" i="33"/>
  <c r="C188" i="32" s="1"/>
  <c r="P244" i="33"/>
  <c r="G247" i="32" s="1"/>
  <c r="U249" i="29" s="1"/>
  <c r="G249" i="29" s="1"/>
  <c r="Q103" i="33"/>
  <c r="P201" i="33"/>
  <c r="G204" i="32" s="1"/>
  <c r="U206" i="29" s="1"/>
  <c r="G206" i="29" s="1"/>
  <c r="F191" i="32"/>
  <c r="T194" i="29" s="1"/>
  <c r="F194" i="29" s="1"/>
  <c r="E191" i="32"/>
  <c r="S194" i="29" s="1"/>
  <c r="E194" i="29" s="1"/>
  <c r="D191" i="32"/>
  <c r="R194" i="29" s="1"/>
  <c r="D194" i="29" s="1"/>
  <c r="AD9" i="32"/>
  <c r="L11" i="28" s="1"/>
  <c r="M11" i="28" s="1"/>
  <c r="E273" i="32"/>
  <c r="S275" i="29" s="1"/>
  <c r="E275" i="29" s="1"/>
  <c r="D273" i="32"/>
  <c r="R275" i="29" s="1"/>
  <c r="D275" i="29" s="1"/>
  <c r="F273" i="32"/>
  <c r="T275" i="29" s="1"/>
  <c r="F275" i="29" s="1"/>
  <c r="F202" i="32"/>
  <c r="T204" i="29" s="1"/>
  <c r="F204" i="29" s="1"/>
  <c r="E202" i="32"/>
  <c r="S204" i="29" s="1"/>
  <c r="E204" i="29" s="1"/>
  <c r="D202" i="32"/>
  <c r="R204" i="29" s="1"/>
  <c r="D204" i="29" s="1"/>
  <c r="AG129" i="32"/>
  <c r="G132" i="28"/>
  <c r="H132" i="28" s="1"/>
  <c r="D145" i="32"/>
  <c r="R147" i="29" s="1"/>
  <c r="D147" i="29" s="1"/>
  <c r="F145" i="32"/>
  <c r="T147" i="29" s="1"/>
  <c r="F147" i="29" s="1"/>
  <c r="E145" i="32"/>
  <c r="S147" i="29" s="1"/>
  <c r="E147" i="29" s="1"/>
  <c r="O135" i="33"/>
  <c r="N135" i="33"/>
  <c r="M135" i="33"/>
  <c r="L135" i="33"/>
  <c r="C138" i="32" s="1"/>
  <c r="O91" i="33"/>
  <c r="N91" i="33"/>
  <c r="M91" i="33"/>
  <c r="L91" i="33"/>
  <c r="C93" i="32" s="1"/>
  <c r="F157" i="32"/>
  <c r="T160" i="29" s="1"/>
  <c r="F160" i="29" s="1"/>
  <c r="E157" i="32"/>
  <c r="S160" i="29" s="1"/>
  <c r="E160" i="29" s="1"/>
  <c r="D157" i="32"/>
  <c r="R160" i="29" s="1"/>
  <c r="D160" i="29" s="1"/>
  <c r="M162" i="33"/>
  <c r="L162" i="33"/>
  <c r="C163" i="32" s="1"/>
  <c r="N162" i="33"/>
  <c r="O162" i="33"/>
  <c r="P18" i="33"/>
  <c r="G20" i="32" s="1"/>
  <c r="U23" i="29" s="1"/>
  <c r="G23" i="29" s="1"/>
  <c r="Q60" i="29"/>
  <c r="C60" i="29" s="1"/>
  <c r="P37" i="33"/>
  <c r="G39" i="32" s="1"/>
  <c r="U42" i="29" s="1"/>
  <c r="G42" i="29" s="1"/>
  <c r="AD164" i="32"/>
  <c r="L167" i="28" s="1"/>
  <c r="M167" i="28" s="1"/>
  <c r="AC184" i="32"/>
  <c r="Q93" i="29"/>
  <c r="C93" i="29" s="1"/>
  <c r="AC10" i="32"/>
  <c r="Q289" i="29"/>
  <c r="C289" i="29" s="1"/>
  <c r="Q98" i="33"/>
  <c r="Q232" i="29"/>
  <c r="C232" i="29" s="1"/>
  <c r="AC301" i="32"/>
  <c r="AC286" i="32"/>
  <c r="F172" i="32"/>
  <c r="T175" i="29" s="1"/>
  <c r="F175" i="29" s="1"/>
  <c r="E172" i="32"/>
  <c r="S175" i="29" s="1"/>
  <c r="E175" i="29" s="1"/>
  <c r="D172" i="32"/>
  <c r="R175" i="29" s="1"/>
  <c r="D175" i="29" s="1"/>
  <c r="Q98" i="29"/>
  <c r="C98" i="29" s="1"/>
  <c r="AC276" i="32"/>
  <c r="AC175" i="32"/>
  <c r="F147" i="32"/>
  <c r="T149" i="29" s="1"/>
  <c r="F149" i="29" s="1"/>
  <c r="E147" i="32"/>
  <c r="S149" i="29" s="1"/>
  <c r="E149" i="29" s="1"/>
  <c r="D147" i="32"/>
  <c r="R149" i="29" s="1"/>
  <c r="D149" i="29" s="1"/>
  <c r="Q308" i="29"/>
  <c r="C308" i="29" s="1"/>
  <c r="P176" i="33"/>
  <c r="G178" i="32" s="1"/>
  <c r="U181" i="29" s="1"/>
  <c r="G181" i="29" s="1"/>
  <c r="P232" i="33"/>
  <c r="G235" i="32" s="1"/>
  <c r="U237" i="29" s="1"/>
  <c r="G237" i="29" s="1"/>
  <c r="AD285" i="32"/>
  <c r="L287" i="28" s="1"/>
  <c r="M287" i="28" s="1"/>
  <c r="Q282" i="29"/>
  <c r="C282" i="29" s="1"/>
  <c r="P87" i="33"/>
  <c r="G89" i="32" s="1"/>
  <c r="U92" i="29" s="1"/>
  <c r="G92" i="29" s="1"/>
  <c r="Q37" i="29"/>
  <c r="C37" i="29" s="1"/>
  <c r="Q102" i="29"/>
  <c r="C102" i="29" s="1"/>
  <c r="F159" i="32"/>
  <c r="T162" i="29" s="1"/>
  <c r="F162" i="29" s="1"/>
  <c r="D159" i="32"/>
  <c r="R162" i="29" s="1"/>
  <c r="D162" i="29" s="1"/>
  <c r="Q299" i="33"/>
  <c r="AA324" i="32"/>
  <c r="P10" i="28"/>
  <c r="Q166" i="33"/>
  <c r="P189" i="33"/>
  <c r="G191" i="32" s="1"/>
  <c r="U194" i="29" s="1"/>
  <c r="G194" i="29" s="1"/>
  <c r="P53" i="33"/>
  <c r="Q108" i="29"/>
  <c r="C108" i="29" s="1"/>
  <c r="AG80" i="32"/>
  <c r="G83" i="28"/>
  <c r="H83" i="28" s="1"/>
  <c r="F168" i="32"/>
  <c r="T171" i="29" s="1"/>
  <c r="F171" i="29" s="1"/>
  <c r="E168" i="32"/>
  <c r="S171" i="29" s="1"/>
  <c r="E171" i="29" s="1"/>
  <c r="D168" i="32"/>
  <c r="R171" i="29" s="1"/>
  <c r="D171" i="29" s="1"/>
  <c r="D105" i="32"/>
  <c r="R108" i="29" s="1"/>
  <c r="D108" i="29" s="1"/>
  <c r="F105" i="32"/>
  <c r="T108" i="29" s="1"/>
  <c r="F108" i="29" s="1"/>
  <c r="E105" i="32"/>
  <c r="S108" i="29" s="1"/>
  <c r="E108" i="29" s="1"/>
  <c r="Q38" i="29"/>
  <c r="C38" i="29" s="1"/>
  <c r="P248" i="33"/>
  <c r="G251" i="32" s="1"/>
  <c r="U253" i="29" s="1"/>
  <c r="G253" i="29" s="1"/>
  <c r="AC9" i="32"/>
  <c r="Q15" i="29"/>
  <c r="C15" i="29" s="1"/>
  <c r="P240" i="33"/>
  <c r="G243" i="32" s="1"/>
  <c r="U245" i="29" s="1"/>
  <c r="G245" i="29" s="1"/>
  <c r="N24" i="33"/>
  <c r="M24" i="33"/>
  <c r="L24" i="33"/>
  <c r="C26" i="32" s="1"/>
  <c r="O24" i="33"/>
  <c r="Q155" i="33"/>
  <c r="Q240" i="29"/>
  <c r="C240" i="29" s="1"/>
  <c r="AD68" i="32"/>
  <c r="L71" i="28" s="1"/>
  <c r="M71" i="28" s="1"/>
  <c r="F32" i="32"/>
  <c r="T35" i="29" s="1"/>
  <c r="F35" i="29" s="1"/>
  <c r="E32" i="32"/>
  <c r="S35" i="29" s="1"/>
  <c r="E35" i="29" s="1"/>
  <c r="D32" i="32"/>
  <c r="R35" i="29" s="1"/>
  <c r="D35" i="29" s="1"/>
  <c r="F57" i="32"/>
  <c r="T60" i="29" s="1"/>
  <c r="F60" i="29" s="1"/>
  <c r="E57" i="32"/>
  <c r="S60" i="29" s="1"/>
  <c r="E60" i="29" s="1"/>
  <c r="D57" i="32"/>
  <c r="R60" i="29" s="1"/>
  <c r="D60" i="29" s="1"/>
  <c r="AD310" i="32"/>
  <c r="L312" i="28" s="1"/>
  <c r="M312" i="28" s="1"/>
  <c r="AD184" i="32"/>
  <c r="L187" i="28" s="1"/>
  <c r="M187" i="28" s="1"/>
  <c r="P54" i="33"/>
  <c r="G56" i="32" s="1"/>
  <c r="U59" i="29" s="1"/>
  <c r="G59" i="29" s="1"/>
  <c r="F90" i="32"/>
  <c r="T93" i="29" s="1"/>
  <c r="F93" i="29" s="1"/>
  <c r="E90" i="32"/>
  <c r="S93" i="29" s="1"/>
  <c r="E93" i="29" s="1"/>
  <c r="D90" i="32"/>
  <c r="R93" i="29" s="1"/>
  <c r="D93" i="29" s="1"/>
  <c r="Q131" i="29"/>
  <c r="C131" i="29" s="1"/>
  <c r="AD10" i="32"/>
  <c r="L12" i="28" s="1"/>
  <c r="M12" i="28" s="1"/>
  <c r="F287" i="32"/>
  <c r="T289" i="29" s="1"/>
  <c r="F289" i="29" s="1"/>
  <c r="D287" i="32"/>
  <c r="R289" i="29" s="1"/>
  <c r="D289" i="29" s="1"/>
  <c r="E287" i="32"/>
  <c r="S289" i="29" s="1"/>
  <c r="E289" i="29" s="1"/>
  <c r="AC45" i="32"/>
  <c r="F250" i="32"/>
  <c r="T252" i="29" s="1"/>
  <c r="F252" i="29" s="1"/>
  <c r="E250" i="32"/>
  <c r="S252" i="29" s="1"/>
  <c r="E252" i="29" s="1"/>
  <c r="D250" i="32"/>
  <c r="R252" i="29" s="1"/>
  <c r="D252" i="29" s="1"/>
  <c r="AD84" i="32"/>
  <c r="L87" i="28" s="1"/>
  <c r="M87" i="28" s="1"/>
  <c r="P265" i="33"/>
  <c r="G268" i="32" s="1"/>
  <c r="U270" i="29" s="1"/>
  <c r="G270" i="29" s="1"/>
  <c r="P119" i="33"/>
  <c r="G121" i="32" s="1"/>
  <c r="U124" i="29" s="1"/>
  <c r="G124" i="29" s="1"/>
  <c r="AG158" i="32"/>
  <c r="G161" i="28"/>
  <c r="H161" i="28" s="1"/>
  <c r="P139" i="33"/>
  <c r="G142" i="32" s="1"/>
  <c r="U144" i="29" s="1"/>
  <c r="G144" i="29" s="1"/>
  <c r="E101" i="32"/>
  <c r="S104" i="29" s="1"/>
  <c r="E104" i="29" s="1"/>
  <c r="D101" i="32"/>
  <c r="R104" i="29" s="1"/>
  <c r="D104" i="29" s="1"/>
  <c r="F101" i="32"/>
  <c r="T104" i="29" s="1"/>
  <c r="F104" i="29" s="1"/>
  <c r="Q34" i="29"/>
  <c r="C34" i="29" s="1"/>
  <c r="Q86" i="29"/>
  <c r="C86" i="29" s="1"/>
  <c r="AD301" i="32"/>
  <c r="L303" i="28" s="1"/>
  <c r="M303" i="28" s="1"/>
  <c r="F146" i="32"/>
  <c r="T148" i="29" s="1"/>
  <c r="F148" i="29" s="1"/>
  <c r="E146" i="32"/>
  <c r="S148" i="29" s="1"/>
  <c r="E148" i="29" s="1"/>
  <c r="D146" i="32"/>
  <c r="R148" i="29" s="1"/>
  <c r="D148" i="29" s="1"/>
  <c r="F69" i="32"/>
  <c r="T72" i="29" s="1"/>
  <c r="F72" i="29" s="1"/>
  <c r="E69" i="32"/>
  <c r="S72" i="29" s="1"/>
  <c r="E72" i="29" s="1"/>
  <c r="D69" i="32"/>
  <c r="R72" i="29" s="1"/>
  <c r="D72" i="29" s="1"/>
  <c r="P236" i="33"/>
  <c r="G239" i="32" s="1"/>
  <c r="U241" i="29" s="1"/>
  <c r="G241" i="29" s="1"/>
  <c r="AD286" i="32"/>
  <c r="L288" i="28" s="1"/>
  <c r="M288" i="28" s="1"/>
  <c r="Q246" i="29"/>
  <c r="C246" i="29" s="1"/>
  <c r="D95" i="32"/>
  <c r="R98" i="29" s="1"/>
  <c r="D98" i="29" s="1"/>
  <c r="F95" i="32"/>
  <c r="T98" i="29" s="1"/>
  <c r="F98" i="29" s="1"/>
  <c r="E95" i="32"/>
  <c r="S98" i="29" s="1"/>
  <c r="E98" i="29" s="1"/>
  <c r="AD276" i="32"/>
  <c r="L278" i="28" s="1"/>
  <c r="M278" i="28" s="1"/>
  <c r="AD175" i="32"/>
  <c r="L178" i="28" s="1"/>
  <c r="M178" i="28" s="1"/>
  <c r="F214" i="32"/>
  <c r="T216" i="29" s="1"/>
  <c r="F216" i="29" s="1"/>
  <c r="E214" i="32"/>
  <c r="S216" i="29" s="1"/>
  <c r="E216" i="29" s="1"/>
  <c r="D214" i="32"/>
  <c r="R216" i="29" s="1"/>
  <c r="D216" i="29" s="1"/>
  <c r="Q105" i="33"/>
  <c r="Q133" i="29"/>
  <c r="C133" i="29" s="1"/>
  <c r="F305" i="32"/>
  <c r="T308" i="29" s="1"/>
  <c r="F308" i="29" s="1"/>
  <c r="E305" i="32"/>
  <c r="S308" i="29" s="1"/>
  <c r="E308" i="29" s="1"/>
  <c r="D305" i="32"/>
  <c r="R308" i="29" s="1"/>
  <c r="D308" i="29" s="1"/>
  <c r="AC11" i="32"/>
  <c r="P110" i="33"/>
  <c r="G112" i="32" s="1"/>
  <c r="U115" i="29" s="1"/>
  <c r="G115" i="29" s="1"/>
  <c r="AG270" i="32"/>
  <c r="G272" i="28"/>
  <c r="H272" i="28" s="1"/>
  <c r="D280" i="32"/>
  <c r="R282" i="29" s="1"/>
  <c r="D282" i="29" s="1"/>
  <c r="F280" i="32"/>
  <c r="T282" i="29" s="1"/>
  <c r="F282" i="29" s="1"/>
  <c r="E280" i="32"/>
  <c r="S282" i="29" s="1"/>
  <c r="E282" i="29" s="1"/>
  <c r="AC137" i="32"/>
  <c r="F99" i="32"/>
  <c r="T102" i="29" s="1"/>
  <c r="F102" i="29" s="1"/>
  <c r="E99" i="32"/>
  <c r="S102" i="29" s="1"/>
  <c r="E102" i="29" s="1"/>
  <c r="D99" i="32"/>
  <c r="R102" i="29" s="1"/>
  <c r="D102" i="29" s="1"/>
  <c r="Q205" i="33"/>
  <c r="Q65" i="33"/>
  <c r="AG61" i="32"/>
  <c r="G64" i="28"/>
  <c r="H64" i="28" s="1"/>
  <c r="P287" i="33"/>
  <c r="F35" i="32"/>
  <c r="T38" i="29" s="1"/>
  <c r="F38" i="29" s="1"/>
  <c r="E35" i="32"/>
  <c r="S38" i="29" s="1"/>
  <c r="E38" i="29" s="1"/>
  <c r="D35" i="32"/>
  <c r="R38" i="29" s="1"/>
  <c r="D38" i="29" s="1"/>
  <c r="Q206" i="29"/>
  <c r="C206" i="29" s="1"/>
  <c r="AC207" i="32"/>
  <c r="I321" i="33"/>
  <c r="L5" i="33"/>
  <c r="O5" i="33"/>
  <c r="N5" i="33"/>
  <c r="M5" i="33"/>
  <c r="F262" i="32"/>
  <c r="T264" i="29" s="1"/>
  <c r="F264" i="29" s="1"/>
  <c r="E262" i="32"/>
  <c r="S264" i="29" s="1"/>
  <c r="E264" i="29" s="1"/>
  <c r="D262" i="32"/>
  <c r="R264" i="29" s="1"/>
  <c r="D264" i="29" s="1"/>
  <c r="E13" i="32"/>
  <c r="S15" i="29" s="1"/>
  <c r="E15" i="29" s="1"/>
  <c r="D13" i="32"/>
  <c r="R15" i="29" s="1"/>
  <c r="D15" i="29" s="1"/>
  <c r="F13" i="32"/>
  <c r="T15" i="29" s="1"/>
  <c r="F15" i="29" s="1"/>
  <c r="P199" i="33"/>
  <c r="G202" i="32" s="1"/>
  <c r="U204" i="29" s="1"/>
  <c r="G204" i="29" s="1"/>
  <c r="Q45" i="29"/>
  <c r="C45" i="29" s="1"/>
  <c r="P300" i="33"/>
  <c r="G303" i="32" s="1"/>
  <c r="U305" i="29" s="1"/>
  <c r="G305" i="29" s="1"/>
  <c r="F156" i="32"/>
  <c r="T159" i="29" s="1"/>
  <c r="F159" i="29" s="1"/>
  <c r="E156" i="32"/>
  <c r="S159" i="29" s="1"/>
  <c r="E159" i="29" s="1"/>
  <c r="D156" i="32"/>
  <c r="R159" i="29" s="1"/>
  <c r="D159" i="29" s="1"/>
  <c r="Q299" i="29"/>
  <c r="C299" i="29" s="1"/>
  <c r="U201" i="29"/>
  <c r="G201" i="29" s="1"/>
  <c r="AC199" i="32"/>
  <c r="AD199" i="32"/>
  <c r="L201" i="28" s="1"/>
  <c r="M201" i="28" s="1"/>
  <c r="W317" i="29"/>
  <c r="X317" i="29"/>
  <c r="P62" i="33"/>
  <c r="G64" i="32" s="1"/>
  <c r="U67" i="29" s="1"/>
  <c r="G67" i="29" s="1"/>
  <c r="AC68" i="32"/>
  <c r="P221" i="33"/>
  <c r="G224" i="32" s="1"/>
  <c r="U226" i="29" s="1"/>
  <c r="G226" i="29" s="1"/>
  <c r="AG293" i="32"/>
  <c r="G295" i="28"/>
  <c r="H295" i="28" s="1"/>
  <c r="AG135" i="32"/>
  <c r="G138" i="28"/>
  <c r="H138" i="28" s="1"/>
  <c r="F39" i="32"/>
  <c r="T42" i="29" s="1"/>
  <c r="F42" i="29" s="1"/>
  <c r="E39" i="32"/>
  <c r="S42" i="29" s="1"/>
  <c r="E42" i="29" s="1"/>
  <c r="D39" i="32"/>
  <c r="R42" i="29" s="1"/>
  <c r="D42" i="29" s="1"/>
  <c r="F128" i="32"/>
  <c r="T131" i="29" s="1"/>
  <c r="F131" i="29" s="1"/>
  <c r="E128" i="32"/>
  <c r="S131" i="29" s="1"/>
  <c r="E131" i="29" s="1"/>
  <c r="D128" i="32"/>
  <c r="R131" i="29" s="1"/>
  <c r="D131" i="29" s="1"/>
  <c r="AG49" i="32"/>
  <c r="G52" i="28"/>
  <c r="H52" i="28" s="1"/>
  <c r="AD45" i="32"/>
  <c r="L48" i="28" s="1"/>
  <c r="M48" i="28" s="1"/>
  <c r="AC84" i="32"/>
  <c r="Q144" i="29"/>
  <c r="C144" i="29" s="1"/>
  <c r="Q300" i="29"/>
  <c r="C300" i="29" s="1"/>
  <c r="D31" i="32"/>
  <c r="R34" i="29" s="1"/>
  <c r="D34" i="29" s="1"/>
  <c r="F31" i="32"/>
  <c r="T34" i="29" s="1"/>
  <c r="F34" i="29" s="1"/>
  <c r="E31" i="32"/>
  <c r="S34" i="29" s="1"/>
  <c r="E34" i="29" s="1"/>
  <c r="F21" i="32"/>
  <c r="T24" i="29" s="1"/>
  <c r="F24" i="29" s="1"/>
  <c r="E21" i="32"/>
  <c r="S24" i="29" s="1"/>
  <c r="E24" i="29" s="1"/>
  <c r="D21" i="32"/>
  <c r="R24" i="29" s="1"/>
  <c r="D24" i="29" s="1"/>
  <c r="D83" i="32"/>
  <c r="R86" i="29" s="1"/>
  <c r="D86" i="29" s="1"/>
  <c r="F83" i="32"/>
  <c r="T86" i="29" s="1"/>
  <c r="F86" i="29" s="1"/>
  <c r="E83" i="32"/>
  <c r="S86" i="29" s="1"/>
  <c r="E86" i="29" s="1"/>
  <c r="O304" i="33"/>
  <c r="N304" i="33"/>
  <c r="M304" i="33"/>
  <c r="L304" i="33"/>
  <c r="C306" i="32" s="1"/>
  <c r="AC182" i="32"/>
  <c r="P137" i="33"/>
  <c r="G140" i="32" s="1"/>
  <c r="U142" i="29" s="1"/>
  <c r="G142" i="29" s="1"/>
  <c r="AC60" i="32"/>
  <c r="F132" i="32"/>
  <c r="T135" i="29" s="1"/>
  <c r="F135" i="29" s="1"/>
  <c r="E132" i="32"/>
  <c r="S135" i="29" s="1"/>
  <c r="E135" i="29" s="1"/>
  <c r="D132" i="32"/>
  <c r="R135" i="29" s="1"/>
  <c r="D135" i="29" s="1"/>
  <c r="F244" i="32"/>
  <c r="T246" i="29" s="1"/>
  <c r="F246" i="29" s="1"/>
  <c r="E244" i="32"/>
  <c r="S246" i="29" s="1"/>
  <c r="E246" i="29" s="1"/>
  <c r="D244" i="32"/>
  <c r="R246" i="29" s="1"/>
  <c r="D246" i="29" s="1"/>
  <c r="P170" i="33"/>
  <c r="G172" i="32" s="1"/>
  <c r="U175" i="29" s="1"/>
  <c r="G175" i="29" s="1"/>
  <c r="G274" i="32"/>
  <c r="U276" i="29" s="1"/>
  <c r="G276" i="29" s="1"/>
  <c r="Q271" i="33"/>
  <c r="AD203" i="32"/>
  <c r="L205" i="28" s="1"/>
  <c r="M205" i="28" s="1"/>
  <c r="L257" i="33"/>
  <c r="C260" i="32" s="1"/>
  <c r="O257" i="33"/>
  <c r="N257" i="33"/>
  <c r="M257" i="33"/>
  <c r="N89" i="33"/>
  <c r="M89" i="33"/>
  <c r="L89" i="33"/>
  <c r="C91" i="32" s="1"/>
  <c r="O89" i="33"/>
  <c r="M48" i="33"/>
  <c r="L48" i="33"/>
  <c r="C50" i="32" s="1"/>
  <c r="O48" i="33"/>
  <c r="N48" i="33"/>
  <c r="AG92" i="32"/>
  <c r="G95" i="28"/>
  <c r="H95" i="28" s="1"/>
  <c r="O269" i="33"/>
  <c r="N269" i="33"/>
  <c r="M269" i="33"/>
  <c r="L269" i="33"/>
  <c r="C272" i="32" s="1"/>
  <c r="AD11" i="32"/>
  <c r="L13" i="28" s="1"/>
  <c r="M13" i="28" s="1"/>
  <c r="N177" i="33"/>
  <c r="M177" i="33"/>
  <c r="L177" i="33"/>
  <c r="C179" i="32" s="1"/>
  <c r="O177" i="33"/>
  <c r="Q237" i="29"/>
  <c r="C237" i="29" s="1"/>
  <c r="Q213" i="29"/>
  <c r="C213" i="29" s="1"/>
  <c r="Q92" i="29"/>
  <c r="C92" i="29" s="1"/>
  <c r="AD137" i="32"/>
  <c r="L18" i="28" s="1"/>
  <c r="M18" i="28" s="1"/>
  <c r="AC153" i="32"/>
  <c r="Q254" i="33"/>
  <c r="Q58" i="29"/>
  <c r="C58" i="29" s="1"/>
  <c r="Q253" i="29"/>
  <c r="C253" i="29" s="1"/>
  <c r="Q275" i="29"/>
  <c r="C275" i="29" s="1"/>
  <c r="Q302" i="29"/>
  <c r="C302" i="29" s="1"/>
  <c r="P112" i="33"/>
  <c r="G114" i="32" s="1"/>
  <c r="U117" i="29" s="1"/>
  <c r="G117" i="29" s="1"/>
  <c r="P237" i="33"/>
  <c r="G240" i="32" s="1"/>
  <c r="U242" i="29" s="1"/>
  <c r="G242" i="29" s="1"/>
  <c r="P142" i="33"/>
  <c r="G145" i="32" s="1"/>
  <c r="U147" i="29" s="1"/>
  <c r="G147" i="29" s="1"/>
  <c r="P51" i="33"/>
  <c r="G53" i="32" s="1"/>
  <c r="U56" i="29" s="1"/>
  <c r="G56" i="29" s="1"/>
  <c r="D297" i="32"/>
  <c r="R299" i="29" s="1"/>
  <c r="D299" i="29" s="1"/>
  <c r="F297" i="32"/>
  <c r="T299" i="29" s="1"/>
  <c r="F299" i="29" s="1"/>
  <c r="E297" i="32"/>
  <c r="S299" i="29" s="1"/>
  <c r="E299" i="29" s="1"/>
  <c r="W27" i="29"/>
  <c r="X26" i="29"/>
  <c r="P239" i="33"/>
  <c r="G242" i="32" s="1"/>
  <c r="U244" i="29" s="1"/>
  <c r="G244" i="29" s="1"/>
  <c r="Q35" i="29"/>
  <c r="C35" i="29" s="1"/>
  <c r="Q298" i="29"/>
  <c r="C298" i="29" s="1"/>
  <c r="AC187" i="32"/>
  <c r="O179" i="33"/>
  <c r="N179" i="33"/>
  <c r="M179" i="33"/>
  <c r="L179" i="33"/>
  <c r="C181" i="32" s="1"/>
  <c r="Q296" i="29"/>
  <c r="C296" i="29" s="1"/>
  <c r="O160" i="33"/>
  <c r="N160" i="33"/>
  <c r="M160" i="33"/>
  <c r="L160" i="33"/>
  <c r="C162" i="32" s="1"/>
  <c r="Q310" i="29"/>
  <c r="C310" i="29" s="1"/>
  <c r="Q100" i="33"/>
  <c r="P114" i="33"/>
  <c r="G116" i="32" s="1"/>
  <c r="U119" i="29" s="1"/>
  <c r="G119" i="29" s="1"/>
  <c r="D142" i="32"/>
  <c r="R144" i="29" s="1"/>
  <c r="D144" i="29" s="1"/>
  <c r="F142" i="32"/>
  <c r="T144" i="29" s="1"/>
  <c r="F144" i="29" s="1"/>
  <c r="E142" i="32"/>
  <c r="S144" i="29" s="1"/>
  <c r="E144" i="29" s="1"/>
  <c r="D298" i="32"/>
  <c r="R300" i="29" s="1"/>
  <c r="D300" i="29" s="1"/>
  <c r="F298" i="32"/>
  <c r="T300" i="29" s="1"/>
  <c r="F300" i="29" s="1"/>
  <c r="E298" i="32"/>
  <c r="S300" i="29" s="1"/>
  <c r="E300" i="29" s="1"/>
  <c r="AC107" i="32"/>
  <c r="Q24" i="29"/>
  <c r="C24" i="29" s="1"/>
  <c r="Q234" i="33"/>
  <c r="AD182" i="32"/>
  <c r="L185" i="28" s="1"/>
  <c r="M185" i="28" s="1"/>
  <c r="AD60" i="32"/>
  <c r="L63" i="28" s="1"/>
  <c r="M63" i="28" s="1"/>
  <c r="Q241" i="29"/>
  <c r="C241" i="29" s="1"/>
  <c r="Q193" i="33"/>
  <c r="AC203" i="32"/>
  <c r="Q216" i="29"/>
  <c r="C216" i="29" s="1"/>
  <c r="AD72" i="32"/>
  <c r="L75" i="28" s="1"/>
  <c r="M75" i="28" s="1"/>
  <c r="F130" i="32"/>
  <c r="T133" i="29" s="1"/>
  <c r="F133" i="29" s="1"/>
  <c r="E130" i="32"/>
  <c r="S133" i="29" s="1"/>
  <c r="E133" i="29" s="1"/>
  <c r="D130" i="32"/>
  <c r="R133" i="29" s="1"/>
  <c r="D133" i="29" s="1"/>
  <c r="Q115" i="29"/>
  <c r="C115" i="29" s="1"/>
  <c r="F235" i="32"/>
  <c r="T237" i="29" s="1"/>
  <c r="F237" i="29" s="1"/>
  <c r="E235" i="32"/>
  <c r="S237" i="29" s="1"/>
  <c r="E237" i="29" s="1"/>
  <c r="D235" i="32"/>
  <c r="R237" i="29" s="1"/>
  <c r="D237" i="29" s="1"/>
  <c r="Q231" i="29"/>
  <c r="C231" i="29" s="1"/>
  <c r="P113" i="33"/>
  <c r="G115" i="32" s="1"/>
  <c r="U118" i="29" s="1"/>
  <c r="G118" i="29" s="1"/>
  <c r="AD153" i="32"/>
  <c r="L155" i="28" s="1"/>
  <c r="M155" i="28" s="1"/>
  <c r="Q298" i="33"/>
  <c r="Q292" i="29"/>
  <c r="C292" i="29" s="1"/>
  <c r="G253" i="32"/>
  <c r="Q250" i="33"/>
  <c r="F251" i="32"/>
  <c r="T253" i="29" s="1"/>
  <c r="F253" i="29" s="1"/>
  <c r="E251" i="32"/>
  <c r="S253" i="29" s="1"/>
  <c r="E253" i="29" s="1"/>
  <c r="D251" i="32"/>
  <c r="R253" i="29" s="1"/>
  <c r="D253" i="29" s="1"/>
  <c r="P270" i="33"/>
  <c r="G273" i="32" s="1"/>
  <c r="U275" i="29" s="1"/>
  <c r="G275" i="29" s="1"/>
  <c r="F300" i="32"/>
  <c r="T302" i="29" s="1"/>
  <c r="F302" i="29" s="1"/>
  <c r="E300" i="32"/>
  <c r="S302" i="29" s="1"/>
  <c r="E302" i="29" s="1"/>
  <c r="D300" i="32"/>
  <c r="R302" i="29" s="1"/>
  <c r="D302" i="29" s="1"/>
  <c r="P259" i="33"/>
  <c r="G262" i="32" s="1"/>
  <c r="U264" i="29" s="1"/>
  <c r="G264" i="29" s="1"/>
  <c r="P10" i="33"/>
  <c r="G13" i="32" s="1"/>
  <c r="U15" i="29" s="1"/>
  <c r="G15" i="29" s="1"/>
  <c r="Q204" i="29"/>
  <c r="C204" i="29" s="1"/>
  <c r="AG206" i="32"/>
  <c r="G209" i="28"/>
  <c r="H209" i="28" s="1"/>
  <c r="AG279" i="32"/>
  <c r="G281" i="28"/>
  <c r="H281" i="28" s="1"/>
  <c r="F42" i="32"/>
  <c r="T45" i="29" s="1"/>
  <c r="F45" i="29" s="1"/>
  <c r="E42" i="32"/>
  <c r="S45" i="29" s="1"/>
  <c r="E45" i="29" s="1"/>
  <c r="D42" i="32"/>
  <c r="R45" i="29" s="1"/>
  <c r="D45" i="29" s="1"/>
  <c r="Q305" i="29"/>
  <c r="C305" i="29" s="1"/>
  <c r="AG124" i="32"/>
  <c r="G127" i="28"/>
  <c r="H127" i="28" s="1"/>
  <c r="X320" i="29"/>
  <c r="W320" i="29"/>
  <c r="Q159" i="29"/>
  <c r="C159" i="29" s="1"/>
  <c r="Q226" i="29"/>
  <c r="C226" i="29" s="1"/>
  <c r="Q169" i="29"/>
  <c r="C169" i="29" s="1"/>
  <c r="Q223" i="29"/>
  <c r="C223" i="29" s="1"/>
  <c r="F296" i="32"/>
  <c r="T298" i="29" s="1"/>
  <c r="F298" i="29" s="1"/>
  <c r="E296" i="32"/>
  <c r="S298" i="29" s="1"/>
  <c r="E298" i="29" s="1"/>
  <c r="D296" i="32"/>
  <c r="R298" i="29" s="1"/>
  <c r="D298" i="29" s="1"/>
  <c r="Q42" i="29"/>
  <c r="C42" i="29" s="1"/>
  <c r="AC311" i="32"/>
  <c r="F294" i="32"/>
  <c r="T296" i="29" s="1"/>
  <c r="F296" i="29" s="1"/>
  <c r="D294" i="32"/>
  <c r="R296" i="29" s="1"/>
  <c r="D296" i="29" s="1"/>
  <c r="E294" i="32"/>
  <c r="S296" i="29" s="1"/>
  <c r="E296" i="29" s="1"/>
  <c r="P284" i="33"/>
  <c r="G287" i="32" s="1"/>
  <c r="U289" i="29" s="1"/>
  <c r="G289" i="29" s="1"/>
  <c r="D307" i="32"/>
  <c r="R310" i="29" s="1"/>
  <c r="D310" i="29" s="1"/>
  <c r="F307" i="32"/>
  <c r="T310" i="29" s="1"/>
  <c r="F310" i="29" s="1"/>
  <c r="E307" i="32"/>
  <c r="S310" i="29" s="1"/>
  <c r="E310" i="29" s="1"/>
  <c r="P247" i="33"/>
  <c r="G250" i="32" s="1"/>
  <c r="U252" i="29" s="1"/>
  <c r="G252" i="29" s="1"/>
  <c r="P75" i="33"/>
  <c r="G77" i="32" s="1"/>
  <c r="U80" i="29" s="1"/>
  <c r="G80" i="29" s="1"/>
  <c r="AD107" i="32"/>
  <c r="L111" i="28" s="1"/>
  <c r="M111" i="28" s="1"/>
  <c r="P99" i="33"/>
  <c r="G101" i="32" s="1"/>
  <c r="U104" i="29" s="1"/>
  <c r="G104" i="29" s="1"/>
  <c r="Q222" i="29"/>
  <c r="C222" i="29" s="1"/>
  <c r="P19" i="33"/>
  <c r="G21" i="32" s="1"/>
  <c r="U24" i="29" s="1"/>
  <c r="G24" i="29" s="1"/>
  <c r="P81" i="33"/>
  <c r="G83" i="32" s="1"/>
  <c r="U86" i="29" s="1"/>
  <c r="G86" i="29" s="1"/>
  <c r="Q148" i="29"/>
  <c r="C148" i="29" s="1"/>
  <c r="Q121" i="29"/>
  <c r="C121" i="29" s="1"/>
  <c r="F239" i="32"/>
  <c r="T241" i="29" s="1"/>
  <c r="F241" i="29" s="1"/>
  <c r="E239" i="32"/>
  <c r="S241" i="29" s="1"/>
  <c r="E241" i="29" s="1"/>
  <c r="D239" i="32"/>
  <c r="R241" i="29" s="1"/>
  <c r="D241" i="29" s="1"/>
  <c r="Q135" i="29"/>
  <c r="C135" i="29" s="1"/>
  <c r="Q93" i="33"/>
  <c r="P260" i="33"/>
  <c r="G263" i="32" s="1"/>
  <c r="U265" i="29" s="1"/>
  <c r="G265" i="29" s="1"/>
  <c r="AC72" i="32"/>
  <c r="AD27" i="32"/>
  <c r="L30" i="28" s="1"/>
  <c r="M30" i="28" s="1"/>
  <c r="P303" i="33"/>
  <c r="G305" i="32" s="1"/>
  <c r="U308" i="29" s="1"/>
  <c r="G308" i="29" s="1"/>
  <c r="Q181" i="29"/>
  <c r="C181" i="29" s="1"/>
  <c r="P210" i="33"/>
  <c r="G213" i="32" s="1"/>
  <c r="U215" i="29" s="1"/>
  <c r="G215" i="29" s="1"/>
  <c r="AD127" i="32"/>
  <c r="L130" i="28" s="1"/>
  <c r="M130" i="28" s="1"/>
  <c r="E112" i="32"/>
  <c r="S115" i="29" s="1"/>
  <c r="E115" i="29" s="1"/>
  <c r="D112" i="32"/>
  <c r="R115" i="29" s="1"/>
  <c r="D115" i="29" s="1"/>
  <c r="F112" i="32"/>
  <c r="T115" i="29" s="1"/>
  <c r="F115" i="29" s="1"/>
  <c r="Q262" i="33"/>
  <c r="O192" i="33"/>
  <c r="L192" i="33"/>
  <c r="C194" i="32" s="1"/>
  <c r="N192" i="33"/>
  <c r="M192" i="33"/>
  <c r="AG246" i="32"/>
  <c r="G248" i="28"/>
  <c r="H248" i="28" s="1"/>
  <c r="Q276" i="33"/>
  <c r="Q171" i="33"/>
  <c r="E204" i="32"/>
  <c r="S206" i="29" s="1"/>
  <c r="E206" i="29" s="1"/>
  <c r="F204" i="32"/>
  <c r="T206" i="29" s="1"/>
  <c r="F206" i="29" s="1"/>
  <c r="D204" i="32"/>
  <c r="R206" i="29" s="1"/>
  <c r="D206" i="29" s="1"/>
  <c r="E189" i="32"/>
  <c r="S192" i="29" s="1"/>
  <c r="E192" i="29" s="1"/>
  <c r="D189" i="32"/>
  <c r="R192" i="29" s="1"/>
  <c r="D192" i="29" s="1"/>
  <c r="F189" i="32"/>
  <c r="T192" i="29" s="1"/>
  <c r="F192" i="29" s="1"/>
  <c r="E290" i="32"/>
  <c r="S292" i="29" s="1"/>
  <c r="E292" i="29" s="1"/>
  <c r="D290" i="32"/>
  <c r="R292" i="29" s="1"/>
  <c r="D292" i="29" s="1"/>
  <c r="F290" i="32"/>
  <c r="T292" i="29" s="1"/>
  <c r="F292" i="29" s="1"/>
  <c r="D55" i="32"/>
  <c r="R58" i="29" s="1"/>
  <c r="D58" i="29" s="1"/>
  <c r="F55" i="32"/>
  <c r="T58" i="29" s="1"/>
  <c r="F58" i="29" s="1"/>
  <c r="E55" i="32"/>
  <c r="S58" i="29" s="1"/>
  <c r="E58" i="29" s="1"/>
  <c r="F114" i="32"/>
  <c r="T117" i="29" s="1"/>
  <c r="F117" i="29" s="1"/>
  <c r="E114" i="32"/>
  <c r="S117" i="29" s="1"/>
  <c r="E117" i="29" s="1"/>
  <c r="D114" i="32"/>
  <c r="R117" i="29" s="1"/>
  <c r="D117" i="29" s="1"/>
  <c r="AD206" i="32"/>
  <c r="L209" i="28" s="1"/>
  <c r="M209" i="28" s="1"/>
  <c r="N225" i="33"/>
  <c r="M225" i="33"/>
  <c r="L225" i="33"/>
  <c r="C228" i="32" s="1"/>
  <c r="O225" i="33"/>
  <c r="E303" i="32"/>
  <c r="S305" i="29" s="1"/>
  <c r="E305" i="29" s="1"/>
  <c r="D303" i="32"/>
  <c r="R305" i="29" s="1"/>
  <c r="D305" i="29" s="1"/>
  <c r="F303" i="32"/>
  <c r="T305" i="29" s="1"/>
  <c r="F305" i="29" s="1"/>
  <c r="Q56" i="29"/>
  <c r="C56" i="29" s="1"/>
  <c r="Q112" i="29"/>
  <c r="C112" i="29" s="1"/>
  <c r="Q235" i="29"/>
  <c r="C235" i="29" s="1"/>
  <c r="AG234" i="32"/>
  <c r="G236" i="28"/>
  <c r="H236" i="28" s="1"/>
  <c r="F150" i="32"/>
  <c r="T152" i="29" s="1"/>
  <c r="F152" i="29" s="1"/>
  <c r="E150" i="32"/>
  <c r="S152" i="29" s="1"/>
  <c r="E152" i="29" s="1"/>
  <c r="D150" i="32"/>
  <c r="R152" i="29" s="1"/>
  <c r="D152" i="29" s="1"/>
  <c r="F224" i="32"/>
  <c r="T226" i="29" s="1"/>
  <c r="F226" i="29" s="1"/>
  <c r="E224" i="32"/>
  <c r="S226" i="29" s="1"/>
  <c r="E226" i="29" s="1"/>
  <c r="D224" i="32"/>
  <c r="R226" i="29" s="1"/>
  <c r="D226" i="29" s="1"/>
  <c r="P30" i="33"/>
  <c r="AD311" i="32"/>
  <c r="L313" i="28" s="1"/>
  <c r="M313" i="28" s="1"/>
  <c r="AC18" i="32"/>
  <c r="E198" i="32"/>
  <c r="S200" i="29" s="1"/>
  <c r="E200" i="29" s="1"/>
  <c r="D198" i="32"/>
  <c r="R200" i="29" s="1"/>
  <c r="D200" i="29" s="1"/>
  <c r="F198" i="32"/>
  <c r="T200" i="29" s="1"/>
  <c r="F200" i="29" s="1"/>
  <c r="Q159" i="33"/>
  <c r="F220" i="32"/>
  <c r="T222" i="29" s="1"/>
  <c r="F222" i="29" s="1"/>
  <c r="E220" i="32"/>
  <c r="S222" i="29" s="1"/>
  <c r="E222" i="29" s="1"/>
  <c r="D220" i="32"/>
  <c r="R222" i="29" s="1"/>
  <c r="D222" i="29" s="1"/>
  <c r="Q142" i="29"/>
  <c r="C142" i="29" s="1"/>
  <c r="P143" i="33"/>
  <c r="E225" i="32"/>
  <c r="S227" i="29" s="1"/>
  <c r="E227" i="29" s="1"/>
  <c r="D225" i="32"/>
  <c r="R227" i="29" s="1"/>
  <c r="D227" i="29" s="1"/>
  <c r="F225" i="32"/>
  <c r="T227" i="29" s="1"/>
  <c r="F227" i="29" s="1"/>
  <c r="Q282" i="33"/>
  <c r="O111" i="33"/>
  <c r="N111" i="33"/>
  <c r="M111" i="33"/>
  <c r="L111" i="33"/>
  <c r="C113" i="32" s="1"/>
  <c r="AD245" i="32"/>
  <c r="L247" i="28" s="1"/>
  <c r="M247" i="28" s="1"/>
  <c r="F33" i="32"/>
  <c r="T36" i="29" s="1"/>
  <c r="F36" i="29" s="1"/>
  <c r="E33" i="32"/>
  <c r="S36" i="29" s="1"/>
  <c r="E36" i="29" s="1"/>
  <c r="D33" i="32"/>
  <c r="R36" i="29" s="1"/>
  <c r="D36" i="29" s="1"/>
  <c r="P211" i="33"/>
  <c r="P26" i="33"/>
  <c r="AC27" i="32"/>
  <c r="F178" i="32"/>
  <c r="T181" i="29" s="1"/>
  <c r="F181" i="29" s="1"/>
  <c r="E178" i="32"/>
  <c r="S181" i="29" s="1"/>
  <c r="E181" i="29" s="1"/>
  <c r="D178" i="32"/>
  <c r="R181" i="29" s="1"/>
  <c r="D181" i="29" s="1"/>
  <c r="AC127" i="32"/>
  <c r="P38" i="33"/>
  <c r="G40" i="32" s="1"/>
  <c r="U43" i="29" s="1"/>
  <c r="G43" i="29" s="1"/>
  <c r="P226" i="33"/>
  <c r="G229" i="32" s="1"/>
  <c r="U231" i="29" s="1"/>
  <c r="G231" i="29" s="1"/>
  <c r="AC148" i="32"/>
  <c r="AC241" i="32"/>
  <c r="Q283" i="33"/>
  <c r="Q264" i="29"/>
  <c r="C264" i="29" s="1"/>
  <c r="AG152" i="32"/>
  <c r="G154" i="28"/>
  <c r="H154" i="28" s="1"/>
  <c r="AG41" i="32"/>
  <c r="G44" i="28"/>
  <c r="H44" i="28" s="1"/>
  <c r="F53" i="32"/>
  <c r="T56" i="29" s="1"/>
  <c r="F56" i="29" s="1"/>
  <c r="E53" i="32"/>
  <c r="S56" i="29" s="1"/>
  <c r="E56" i="29" s="1"/>
  <c r="D53" i="32"/>
  <c r="R56" i="29" s="1"/>
  <c r="D56" i="29" s="1"/>
  <c r="F109" i="32"/>
  <c r="T112" i="29" s="1"/>
  <c r="F112" i="29" s="1"/>
  <c r="E109" i="32"/>
  <c r="S112" i="29" s="1"/>
  <c r="E112" i="29" s="1"/>
  <c r="D109" i="32"/>
  <c r="R112" i="29" s="1"/>
  <c r="D112" i="29" s="1"/>
  <c r="Q169" i="33"/>
  <c r="Q41" i="29"/>
  <c r="C41" i="29" s="1"/>
  <c r="E221" i="32"/>
  <c r="S223" i="29" s="1"/>
  <c r="E223" i="29" s="1"/>
  <c r="D221" i="32"/>
  <c r="R223" i="29" s="1"/>
  <c r="D223" i="29" s="1"/>
  <c r="F221" i="32"/>
  <c r="T223" i="29" s="1"/>
  <c r="F223" i="29" s="1"/>
  <c r="AG70" i="32"/>
  <c r="G73" i="28"/>
  <c r="H73" i="28" s="1"/>
  <c r="AD18" i="32"/>
  <c r="L21" i="28" s="1"/>
  <c r="M21" i="28" s="1"/>
  <c r="AD282" i="32"/>
  <c r="L284" i="28" s="1"/>
  <c r="M284" i="28" s="1"/>
  <c r="Q200" i="29"/>
  <c r="C200" i="29" s="1"/>
  <c r="Q40" i="29"/>
  <c r="C40" i="29" s="1"/>
  <c r="Q164" i="29"/>
  <c r="C164" i="29" s="1"/>
  <c r="Q252" i="29"/>
  <c r="C252" i="29" s="1"/>
  <c r="Q119" i="29"/>
  <c r="C119" i="29" s="1"/>
  <c r="Q238" i="29"/>
  <c r="C238" i="29" s="1"/>
  <c r="F77" i="32"/>
  <c r="T80" i="29" s="1"/>
  <c r="F80" i="29" s="1"/>
  <c r="E77" i="32"/>
  <c r="S80" i="29" s="1"/>
  <c r="E80" i="29" s="1"/>
  <c r="D77" i="32"/>
  <c r="R80" i="29" s="1"/>
  <c r="D80" i="29" s="1"/>
  <c r="E177" i="32"/>
  <c r="S180" i="29" s="1"/>
  <c r="E180" i="29" s="1"/>
  <c r="D177" i="32"/>
  <c r="R180" i="29" s="1"/>
  <c r="D180" i="29" s="1"/>
  <c r="F177" i="32"/>
  <c r="T180" i="29" s="1"/>
  <c r="F180" i="29" s="1"/>
  <c r="Q104" i="29"/>
  <c r="C104" i="29" s="1"/>
  <c r="F140" i="32"/>
  <c r="T142" i="29" s="1"/>
  <c r="F142" i="29" s="1"/>
  <c r="E140" i="32"/>
  <c r="S142" i="29" s="1"/>
  <c r="E142" i="29" s="1"/>
  <c r="D140" i="32"/>
  <c r="R142" i="29" s="1"/>
  <c r="D142" i="29" s="1"/>
  <c r="AD237" i="32"/>
  <c r="L239" i="28" s="1"/>
  <c r="M239" i="28" s="1"/>
  <c r="D118" i="32"/>
  <c r="R121" i="29" s="1"/>
  <c r="D121" i="29" s="1"/>
  <c r="F118" i="32"/>
  <c r="T121" i="29" s="1"/>
  <c r="F121" i="29" s="1"/>
  <c r="E118" i="32"/>
  <c r="S121" i="29" s="1"/>
  <c r="E121" i="29" s="1"/>
  <c r="Q227" i="29"/>
  <c r="C227" i="29" s="1"/>
  <c r="AC88" i="32"/>
  <c r="AC245" i="32"/>
  <c r="Q265" i="29"/>
  <c r="C265" i="29" s="1"/>
  <c r="Q256" i="29"/>
  <c r="C256" i="29" s="1"/>
  <c r="Q188" i="29"/>
  <c r="C188" i="29" s="1"/>
  <c r="E19" i="32"/>
  <c r="S22" i="29" s="1"/>
  <c r="E22" i="29" s="1"/>
  <c r="D19" i="32"/>
  <c r="R22" i="29" s="1"/>
  <c r="D22" i="29" s="1"/>
  <c r="F19" i="32"/>
  <c r="T22" i="29" s="1"/>
  <c r="F22" i="29" s="1"/>
  <c r="Q215" i="29"/>
  <c r="C215" i="29" s="1"/>
  <c r="D289" i="32"/>
  <c r="R291" i="29" s="1"/>
  <c r="D291" i="29" s="1"/>
  <c r="F289" i="32"/>
  <c r="T291" i="29" s="1"/>
  <c r="F291" i="29" s="1"/>
  <c r="E289" i="32"/>
  <c r="S291" i="29" s="1"/>
  <c r="E291" i="29" s="1"/>
  <c r="AD313" i="32"/>
  <c r="L315" i="28" s="1"/>
  <c r="M315" i="28" s="1"/>
  <c r="Q58" i="33"/>
  <c r="D229" i="32"/>
  <c r="R231" i="29" s="1"/>
  <c r="D231" i="29" s="1"/>
  <c r="E229" i="32"/>
  <c r="S231" i="29" s="1"/>
  <c r="E231" i="29" s="1"/>
  <c r="F229" i="32"/>
  <c r="T231" i="29" s="1"/>
  <c r="F231" i="29" s="1"/>
  <c r="AD148" i="32"/>
  <c r="L150" i="28" s="1"/>
  <c r="M150" i="28" s="1"/>
  <c r="P151" i="33"/>
  <c r="G154" i="32" s="1"/>
  <c r="U156" i="29" s="1"/>
  <c r="G156" i="29" s="1"/>
  <c r="AD241" i="32"/>
  <c r="L243" i="28" s="1"/>
  <c r="M243" i="28" s="1"/>
  <c r="Q309" i="33"/>
  <c r="W16" i="29"/>
  <c r="X16" i="29"/>
  <c r="AG256" i="32"/>
  <c r="G258" i="28"/>
  <c r="H258" i="28" s="1"/>
  <c r="AC196" i="32"/>
  <c r="X323" i="29"/>
  <c r="W323" i="29"/>
  <c r="AC171" i="32"/>
  <c r="AD171" i="32"/>
  <c r="L174" i="28" s="1"/>
  <c r="M174" i="28" s="1"/>
  <c r="Q174" i="29"/>
  <c r="C174" i="29" s="1"/>
  <c r="F38" i="32"/>
  <c r="T41" i="29" s="1"/>
  <c r="F41" i="29" s="1"/>
  <c r="E38" i="32"/>
  <c r="S41" i="29" s="1"/>
  <c r="E41" i="29" s="1"/>
  <c r="D38" i="32"/>
  <c r="R41" i="29" s="1"/>
  <c r="D41" i="29" s="1"/>
  <c r="AC282" i="32"/>
  <c r="D37" i="32"/>
  <c r="R40" i="29" s="1"/>
  <c r="D40" i="29" s="1"/>
  <c r="F37" i="32"/>
  <c r="T40" i="29" s="1"/>
  <c r="F40" i="29" s="1"/>
  <c r="E37" i="32"/>
  <c r="S40" i="29" s="1"/>
  <c r="E40" i="29" s="1"/>
  <c r="E161" i="32"/>
  <c r="S164" i="29" s="1"/>
  <c r="E164" i="29" s="1"/>
  <c r="D161" i="32"/>
  <c r="R164" i="29" s="1"/>
  <c r="D164" i="29" s="1"/>
  <c r="F161" i="32"/>
  <c r="T164" i="29" s="1"/>
  <c r="F164" i="29" s="1"/>
  <c r="O152" i="33"/>
  <c r="N152" i="33"/>
  <c r="M152" i="33"/>
  <c r="L152" i="33"/>
  <c r="C155" i="32" s="1"/>
  <c r="AD102" i="32"/>
  <c r="L105" i="28" s="1"/>
  <c r="M105" i="28" s="1"/>
  <c r="AC102" i="32"/>
  <c r="Q105" i="29"/>
  <c r="C105" i="29" s="1"/>
  <c r="F116" i="32"/>
  <c r="T119" i="29" s="1"/>
  <c r="F119" i="29" s="1"/>
  <c r="E116" i="32"/>
  <c r="S119" i="29" s="1"/>
  <c r="E119" i="29" s="1"/>
  <c r="D116" i="32"/>
  <c r="R119" i="29" s="1"/>
  <c r="D119" i="29" s="1"/>
  <c r="F236" i="32"/>
  <c r="T238" i="29" s="1"/>
  <c r="F238" i="29" s="1"/>
  <c r="E236" i="32"/>
  <c r="S238" i="29" s="1"/>
  <c r="E238" i="29" s="1"/>
  <c r="D236" i="32"/>
  <c r="R238" i="29" s="1"/>
  <c r="D238" i="29" s="1"/>
  <c r="AG82" i="32"/>
  <c r="G85" i="28"/>
  <c r="H85" i="28" s="1"/>
  <c r="AC237" i="32"/>
  <c r="O203" i="33"/>
  <c r="N203" i="33"/>
  <c r="M203" i="33"/>
  <c r="L203" i="33"/>
  <c r="C205" i="32" s="1"/>
  <c r="AD88" i="32"/>
  <c r="L91" i="28" s="1"/>
  <c r="M91" i="28" s="1"/>
  <c r="Q219" i="29"/>
  <c r="C219" i="29" s="1"/>
  <c r="F263" i="32"/>
  <c r="T265" i="29" s="1"/>
  <c r="F265" i="29" s="1"/>
  <c r="E263" i="32"/>
  <c r="S265" i="29" s="1"/>
  <c r="E265" i="29" s="1"/>
  <c r="D263" i="32"/>
  <c r="R265" i="29" s="1"/>
  <c r="D265" i="29" s="1"/>
  <c r="F254" i="32"/>
  <c r="T256" i="29" s="1"/>
  <c r="F256" i="29" s="1"/>
  <c r="E254" i="32"/>
  <c r="S256" i="29" s="1"/>
  <c r="E256" i="29" s="1"/>
  <c r="D254" i="32"/>
  <c r="R256" i="29" s="1"/>
  <c r="D256" i="29" s="1"/>
  <c r="Q188" i="33"/>
  <c r="E185" i="32"/>
  <c r="S188" i="29" s="1"/>
  <c r="E188" i="29" s="1"/>
  <c r="F185" i="32"/>
  <c r="T188" i="29" s="1"/>
  <c r="F188" i="29" s="1"/>
  <c r="D185" i="32"/>
  <c r="R188" i="29" s="1"/>
  <c r="D188" i="29" s="1"/>
  <c r="Q22" i="29"/>
  <c r="C22" i="29" s="1"/>
  <c r="E213" i="32"/>
  <c r="S215" i="29" s="1"/>
  <c r="E215" i="29" s="1"/>
  <c r="D213" i="32"/>
  <c r="R215" i="29" s="1"/>
  <c r="D215" i="29" s="1"/>
  <c r="F213" i="32"/>
  <c r="T215" i="29" s="1"/>
  <c r="F215" i="29" s="1"/>
  <c r="M246" i="33"/>
  <c r="L246" i="33"/>
  <c r="C249" i="32" s="1"/>
  <c r="N246" i="33"/>
  <c r="O246" i="33"/>
  <c r="Q118" i="29"/>
  <c r="C118" i="29" s="1"/>
  <c r="P157" i="33"/>
  <c r="G159" i="32" s="1"/>
  <c r="U162" i="29" s="1"/>
  <c r="G162" i="29" s="1"/>
  <c r="Q116" i="33" l="1"/>
  <c r="G304" i="28"/>
  <c r="H304" i="28" s="1"/>
  <c r="Q69" i="33"/>
  <c r="Q217" i="33"/>
  <c r="Q101" i="33"/>
  <c r="AC277" i="32"/>
  <c r="Q150" i="33"/>
  <c r="AD187" i="32"/>
  <c r="L190" i="28" s="1"/>
  <c r="M190" i="28" s="1"/>
  <c r="Q49" i="33"/>
  <c r="Q259" i="33"/>
  <c r="AD227" i="32"/>
  <c r="L229" i="28" s="1"/>
  <c r="M229" i="28" s="1"/>
  <c r="AG216" i="32"/>
  <c r="Q129" i="33"/>
  <c r="Q306" i="33"/>
  <c r="AC227" i="32"/>
  <c r="Q32" i="33"/>
  <c r="AD71" i="32"/>
  <c r="L74" i="28" s="1"/>
  <c r="M74" i="28" s="1"/>
  <c r="AC71" i="32"/>
  <c r="AC51" i="32"/>
  <c r="AG51" i="32" s="1"/>
  <c r="Q274" i="33"/>
  <c r="AG100" i="32"/>
  <c r="X314" i="29"/>
  <c r="AD51" i="32"/>
  <c r="L54" i="28" s="1"/>
  <c r="M54" i="28" s="1"/>
  <c r="Q131" i="33"/>
  <c r="AD291" i="32"/>
  <c r="L293" i="28" s="1"/>
  <c r="M293" i="28" s="1"/>
  <c r="G304" i="32"/>
  <c r="Q302" i="33"/>
  <c r="AC310" i="32"/>
  <c r="G70" i="28"/>
  <c r="H70" i="28" s="1"/>
  <c r="AC291" i="32"/>
  <c r="Q307" i="33"/>
  <c r="G81" i="32"/>
  <c r="Q79" i="33"/>
  <c r="Q113" i="33"/>
  <c r="AD278" i="32"/>
  <c r="L280" i="28" s="1"/>
  <c r="M280" i="28" s="1"/>
  <c r="AD265" i="32"/>
  <c r="L267" i="28" s="1"/>
  <c r="M267" i="28" s="1"/>
  <c r="Q275" i="33"/>
  <c r="Q95" i="33"/>
  <c r="AC288" i="32"/>
  <c r="AC278" i="32"/>
  <c r="Q285" i="33"/>
  <c r="AC17" i="32"/>
  <c r="G20" i="28" s="1"/>
  <c r="H20" i="28" s="1"/>
  <c r="Q208" i="33"/>
  <c r="G66" i="28"/>
  <c r="H66" i="28" s="1"/>
  <c r="X66" i="29" s="1"/>
  <c r="AC265" i="32"/>
  <c r="AG265" i="32" s="1"/>
  <c r="AD166" i="32"/>
  <c r="L169" i="28" s="1"/>
  <c r="M169" i="28" s="1"/>
  <c r="AD17" i="32"/>
  <c r="L20" i="28" s="1"/>
  <c r="M20" i="28" s="1"/>
  <c r="AD288" i="32"/>
  <c r="L290" i="28" s="1"/>
  <c r="M290" i="28" s="1"/>
  <c r="Q114" i="33"/>
  <c r="Q71" i="33"/>
  <c r="G90" i="32"/>
  <c r="U93" i="29" s="1"/>
  <c r="G93" i="29" s="1"/>
  <c r="Q16" i="33"/>
  <c r="G259" i="28"/>
  <c r="H259" i="28" s="1"/>
  <c r="W259" i="29" s="1"/>
  <c r="D136" i="32"/>
  <c r="R139" i="29" s="1"/>
  <c r="D139" i="29" s="1"/>
  <c r="AD111" i="32"/>
  <c r="L114" i="28" s="1"/>
  <c r="M114" i="28" s="1"/>
  <c r="E136" i="32"/>
  <c r="S139" i="29" s="1"/>
  <c r="E139" i="29" s="1"/>
  <c r="Q109" i="33"/>
  <c r="Q67" i="33"/>
  <c r="AC97" i="32"/>
  <c r="P35" i="33"/>
  <c r="G37" i="32" s="1"/>
  <c r="U40" i="29" s="1"/>
  <c r="G40" i="29" s="1"/>
  <c r="Q110" i="33"/>
  <c r="AD97" i="32"/>
  <c r="L100" i="28" s="1"/>
  <c r="M100" i="28" s="1"/>
  <c r="P34" i="33"/>
  <c r="G36" i="32" s="1"/>
  <c r="U39" i="29" s="1"/>
  <c r="G39" i="29" s="1"/>
  <c r="P77" i="33"/>
  <c r="G79" i="32" s="1"/>
  <c r="U82" i="29" s="1"/>
  <c r="G82" i="29" s="1"/>
  <c r="AC111" i="32"/>
  <c r="Q245" i="33"/>
  <c r="Q305" i="33"/>
  <c r="Q144" i="33"/>
  <c r="Q99" i="33"/>
  <c r="Q241" i="33"/>
  <c r="Q291" i="33"/>
  <c r="G15" i="32"/>
  <c r="P134" i="33"/>
  <c r="G136" i="32" s="1"/>
  <c r="Q250" i="29"/>
  <c r="C250" i="29" s="1"/>
  <c r="AD248" i="32"/>
  <c r="L250" i="28" s="1"/>
  <c r="M250" i="28" s="1"/>
  <c r="AC248" i="32"/>
  <c r="AC233" i="32"/>
  <c r="AG233" i="32" s="1"/>
  <c r="AG313" i="32"/>
  <c r="AC250" i="32"/>
  <c r="AG250" i="32" s="1"/>
  <c r="Q55" i="33"/>
  <c r="AD250" i="32"/>
  <c r="L252" i="28" s="1"/>
  <c r="M252" i="28" s="1"/>
  <c r="Q232" i="33"/>
  <c r="Q249" i="33"/>
  <c r="Q240" i="33"/>
  <c r="AD262" i="32"/>
  <c r="L264" i="28" s="1"/>
  <c r="M264" i="28" s="1"/>
  <c r="G137" i="28"/>
  <c r="H137" i="28" s="1"/>
  <c r="Q176" i="33"/>
  <c r="Q138" i="33"/>
  <c r="G57" i="28"/>
  <c r="H57" i="28" s="1"/>
  <c r="W58" i="29" s="1"/>
  <c r="AC211" i="32"/>
  <c r="AG211" i="32" s="1"/>
  <c r="G217" i="28"/>
  <c r="H217" i="28" s="1"/>
  <c r="W216" i="29" s="1"/>
  <c r="P31" i="33"/>
  <c r="G33" i="32" s="1"/>
  <c r="U36" i="29" s="1"/>
  <c r="G36" i="29" s="1"/>
  <c r="P73" i="33"/>
  <c r="G75" i="32" s="1"/>
  <c r="U78" i="29" s="1"/>
  <c r="G78" i="29" s="1"/>
  <c r="D75" i="32"/>
  <c r="R78" i="29" s="1"/>
  <c r="D78" i="29" s="1"/>
  <c r="Q295" i="33"/>
  <c r="AC166" i="32"/>
  <c r="AG166" i="32" s="1"/>
  <c r="AD211" i="32"/>
  <c r="L213" i="28" s="1"/>
  <c r="M213" i="28" s="1"/>
  <c r="Q201" i="33"/>
  <c r="Q13" i="33"/>
  <c r="U257" i="29"/>
  <c r="G257" i="29" s="1"/>
  <c r="AD255" i="32"/>
  <c r="L257" i="28" s="1"/>
  <c r="M257" i="28" s="1"/>
  <c r="AC255" i="32"/>
  <c r="Q7" i="33"/>
  <c r="Q141" i="33"/>
  <c r="Q102" i="33"/>
  <c r="P146" i="33"/>
  <c r="G149" i="32" s="1"/>
  <c r="U254" i="29"/>
  <c r="G254" i="29" s="1"/>
  <c r="AD252" i="32"/>
  <c r="L254" i="28" s="1"/>
  <c r="M254" i="28" s="1"/>
  <c r="AC252" i="32"/>
  <c r="Q289" i="33"/>
  <c r="E183" i="32"/>
  <c r="S186" i="29" s="1"/>
  <c r="E186" i="29" s="1"/>
  <c r="D183" i="32"/>
  <c r="R186" i="29" s="1"/>
  <c r="D186" i="29" s="1"/>
  <c r="F183" i="32"/>
  <c r="T186" i="29" s="1"/>
  <c r="F186" i="29" s="1"/>
  <c r="Q23" i="33"/>
  <c r="Q206" i="33"/>
  <c r="Q63" i="33"/>
  <c r="Q112" i="33"/>
  <c r="Q222" i="33"/>
  <c r="G52" i="32"/>
  <c r="Q50" i="33"/>
  <c r="Q165" i="33"/>
  <c r="Q9" i="33"/>
  <c r="Q293" i="33"/>
  <c r="C183" i="32"/>
  <c r="P181" i="33"/>
  <c r="Q270" i="33"/>
  <c r="AC262" i="32"/>
  <c r="AG262" i="32" s="1"/>
  <c r="P215" i="33"/>
  <c r="G218" i="32" s="1"/>
  <c r="U220" i="29" s="1"/>
  <c r="G220" i="29" s="1"/>
  <c r="G195" i="32"/>
  <c r="U158" i="29" s="1"/>
  <c r="G158" i="29" s="1"/>
  <c r="Q153" i="33"/>
  <c r="AD156" i="32"/>
  <c r="L159" i="28" s="1"/>
  <c r="M159" i="28" s="1"/>
  <c r="Q248" i="33"/>
  <c r="G210" i="32"/>
  <c r="Q207" i="33"/>
  <c r="Q158" i="29"/>
  <c r="C158" i="29" s="1"/>
  <c r="AC132" i="32"/>
  <c r="Q46" i="33"/>
  <c r="Q92" i="33"/>
  <c r="D139" i="32"/>
  <c r="R141" i="29" s="1"/>
  <c r="D141" i="29" s="1"/>
  <c r="F139" i="32"/>
  <c r="T141" i="29" s="1"/>
  <c r="F141" i="29" s="1"/>
  <c r="E139" i="32"/>
  <c r="S141" i="29" s="1"/>
  <c r="E141" i="29" s="1"/>
  <c r="C139" i="32"/>
  <c r="P136" i="33"/>
  <c r="G139" i="32" s="1"/>
  <c r="U141" i="29" s="1"/>
  <c r="G141" i="29" s="1"/>
  <c r="Q151" i="33"/>
  <c r="Q178" i="33"/>
  <c r="Q247" i="33"/>
  <c r="AC274" i="32"/>
  <c r="Q76" i="29"/>
  <c r="AC73" i="32"/>
  <c r="AD73" i="32"/>
  <c r="L76" i="28" s="1"/>
  <c r="M76" i="28" s="1"/>
  <c r="AD217" i="32"/>
  <c r="L219" i="28" s="1"/>
  <c r="M219" i="28" s="1"/>
  <c r="F117" i="32"/>
  <c r="T120" i="29" s="1"/>
  <c r="F120" i="29" s="1"/>
  <c r="E117" i="32"/>
  <c r="S120" i="29" s="1"/>
  <c r="E120" i="29" s="1"/>
  <c r="D117" i="32"/>
  <c r="R120" i="29" s="1"/>
  <c r="D120" i="29" s="1"/>
  <c r="Q277" i="33"/>
  <c r="Q229" i="33"/>
  <c r="AC94" i="32"/>
  <c r="AG94" i="32" s="1"/>
  <c r="C24" i="32"/>
  <c r="AC115" i="32"/>
  <c r="P179" i="33"/>
  <c r="G181" i="32" s="1"/>
  <c r="U184" i="29" s="1"/>
  <c r="G184" i="29" s="1"/>
  <c r="Q130" i="33"/>
  <c r="Q183" i="29"/>
  <c r="C183" i="29" s="1"/>
  <c r="AD180" i="32"/>
  <c r="L183" i="28" s="1"/>
  <c r="M183" i="28" s="1"/>
  <c r="AC180" i="32"/>
  <c r="Q136" i="29"/>
  <c r="C136" i="29" s="1"/>
  <c r="AC133" i="32"/>
  <c r="AD133" i="32"/>
  <c r="L136" i="28" s="1"/>
  <c r="M136" i="28" s="1"/>
  <c r="AD115" i="32"/>
  <c r="L118" i="28" s="1"/>
  <c r="M118" i="28" s="1"/>
  <c r="AC156" i="32"/>
  <c r="Q87" i="33"/>
  <c r="AD16" i="32"/>
  <c r="L19" i="28" s="1"/>
  <c r="M19" i="28" s="1"/>
  <c r="AD238" i="32"/>
  <c r="L240" i="28" s="1"/>
  <c r="M240" i="28" s="1"/>
  <c r="Q278" i="33"/>
  <c r="Q170" i="29"/>
  <c r="C170" i="29" s="1"/>
  <c r="AC167" i="32"/>
  <c r="AD167" i="32"/>
  <c r="L170" i="28" s="1"/>
  <c r="M170" i="28" s="1"/>
  <c r="P304" i="33"/>
  <c r="G306" i="32" s="1"/>
  <c r="U309" i="29" s="1"/>
  <c r="G309" i="29" s="1"/>
  <c r="Q195" i="33"/>
  <c r="Q64" i="33"/>
  <c r="AC202" i="32"/>
  <c r="AG202" i="32" s="1"/>
  <c r="Q29" i="33"/>
  <c r="AC89" i="32"/>
  <c r="AG89" i="32" s="1"/>
  <c r="AD174" i="32"/>
  <c r="L177" i="28" s="1"/>
  <c r="M177" i="28" s="1"/>
  <c r="E125" i="32"/>
  <c r="S128" i="29" s="1"/>
  <c r="E128" i="29" s="1"/>
  <c r="D125" i="32"/>
  <c r="R128" i="29" s="1"/>
  <c r="D128" i="29" s="1"/>
  <c r="F125" i="32"/>
  <c r="T128" i="29" s="1"/>
  <c r="F128" i="29" s="1"/>
  <c r="AC101" i="32"/>
  <c r="G104" i="28" s="1"/>
  <c r="H104" i="28" s="1"/>
  <c r="Q210" i="33"/>
  <c r="AD202" i="32"/>
  <c r="L204" i="28" s="1"/>
  <c r="M204" i="28" s="1"/>
  <c r="AD89" i="32"/>
  <c r="L92" i="28" s="1"/>
  <c r="M92" i="28" s="1"/>
  <c r="C125" i="32"/>
  <c r="P123" i="33"/>
  <c r="G125" i="32" s="1"/>
  <c r="U128" i="29" s="1"/>
  <c r="G128" i="29" s="1"/>
  <c r="Q104" i="33"/>
  <c r="Q39" i="29"/>
  <c r="Q28" i="33"/>
  <c r="Q75" i="33"/>
  <c r="AD233" i="32"/>
  <c r="L235" i="28" s="1"/>
  <c r="M235" i="28" s="1"/>
  <c r="P140" i="33"/>
  <c r="G143" i="32" s="1"/>
  <c r="U145" i="29" s="1"/>
  <c r="G145" i="29" s="1"/>
  <c r="G65" i="28"/>
  <c r="H65" i="28" s="1"/>
  <c r="X65" i="29" s="1"/>
  <c r="Q45" i="33"/>
  <c r="D36" i="32"/>
  <c r="R39" i="29" s="1"/>
  <c r="D39" i="29" s="1"/>
  <c r="F36" i="32"/>
  <c r="T39" i="29" s="1"/>
  <c r="F39" i="29" s="1"/>
  <c r="E36" i="32"/>
  <c r="S39" i="29" s="1"/>
  <c r="E39" i="29" s="1"/>
  <c r="Q33" i="29"/>
  <c r="C33" i="29" s="1"/>
  <c r="AC30" i="32"/>
  <c r="AD30" i="32"/>
  <c r="L33" i="28" s="1"/>
  <c r="M33" i="28" s="1"/>
  <c r="P22" i="33"/>
  <c r="G24" i="32" s="1"/>
  <c r="U27" i="29" s="1"/>
  <c r="G27" i="29" s="1"/>
  <c r="F24" i="32"/>
  <c r="T27" i="29" s="1"/>
  <c r="F27" i="29" s="1"/>
  <c r="E24" i="32"/>
  <c r="S27" i="29" s="1"/>
  <c r="E27" i="29" s="1"/>
  <c r="D24" i="32"/>
  <c r="R27" i="29" s="1"/>
  <c r="D27" i="29" s="1"/>
  <c r="Q50" i="29"/>
  <c r="C50" i="29" s="1"/>
  <c r="AD47" i="32"/>
  <c r="L50" i="28" s="1"/>
  <c r="M50" i="28" s="1"/>
  <c r="AC47" i="32"/>
  <c r="AC217" i="32"/>
  <c r="AC16" i="32"/>
  <c r="AG16" i="32" s="1"/>
  <c r="P191" i="33"/>
  <c r="G193" i="32" s="1"/>
  <c r="U196" i="29" s="1"/>
  <c r="G196" i="29" s="1"/>
  <c r="C117" i="32"/>
  <c r="P115" i="33"/>
  <c r="G117" i="32" s="1"/>
  <c r="U120" i="29" s="1"/>
  <c r="G120" i="29" s="1"/>
  <c r="AD101" i="32"/>
  <c r="L104" i="28" s="1"/>
  <c r="M104" i="28" s="1"/>
  <c r="Q265" i="33"/>
  <c r="AD34" i="32"/>
  <c r="L37" i="28" s="1"/>
  <c r="M37" i="28" s="1"/>
  <c r="AC226" i="32"/>
  <c r="AG226" i="32" s="1"/>
  <c r="D65" i="29"/>
  <c r="AC275" i="32"/>
  <c r="AD275" i="32"/>
  <c r="L277" i="28" s="1"/>
  <c r="M277" i="28" s="1"/>
  <c r="Q277" i="29"/>
  <c r="C277" i="29" s="1"/>
  <c r="AD106" i="32"/>
  <c r="L109" i="28" s="1"/>
  <c r="M109" i="28" s="1"/>
  <c r="C143" i="32"/>
  <c r="Q172" i="33"/>
  <c r="Q189" i="29"/>
  <c r="C189" i="29" s="1"/>
  <c r="AD186" i="32"/>
  <c r="L189" i="28" s="1"/>
  <c r="M189" i="28" s="1"/>
  <c r="AC186" i="32"/>
  <c r="G86" i="32"/>
  <c r="Q84" i="33"/>
  <c r="P246" i="33"/>
  <c r="G249" i="32" s="1"/>
  <c r="U251" i="29" s="1"/>
  <c r="G251" i="29" s="1"/>
  <c r="AD109" i="32"/>
  <c r="L112" i="28" s="1"/>
  <c r="M112" i="28" s="1"/>
  <c r="Q237" i="33"/>
  <c r="Q223" i="33"/>
  <c r="AD230" i="32"/>
  <c r="L232" i="28" s="1"/>
  <c r="M232" i="28" s="1"/>
  <c r="AD226" i="32"/>
  <c r="L228" i="28" s="1"/>
  <c r="M228" i="28" s="1"/>
  <c r="Q33" i="33"/>
  <c r="C89" i="29"/>
  <c r="C109" i="29"/>
  <c r="E143" i="32"/>
  <c r="S145" i="29" s="1"/>
  <c r="E145" i="29" s="1"/>
  <c r="D143" i="32"/>
  <c r="R145" i="29" s="1"/>
  <c r="D145" i="29" s="1"/>
  <c r="F143" i="32"/>
  <c r="T145" i="29" s="1"/>
  <c r="F145" i="29" s="1"/>
  <c r="Q296" i="33"/>
  <c r="AD19" i="32"/>
  <c r="L22" i="28" s="1"/>
  <c r="M22" i="28" s="1"/>
  <c r="AD38" i="32"/>
  <c r="L41" i="28" s="1"/>
  <c r="M41" i="28" s="1"/>
  <c r="AC109" i="32"/>
  <c r="AG109" i="32" s="1"/>
  <c r="Q236" i="33"/>
  <c r="AC238" i="32"/>
  <c r="AC230" i="32"/>
  <c r="Q294" i="33"/>
  <c r="F218" i="32"/>
  <c r="T220" i="29" s="1"/>
  <c r="F220" i="29" s="1"/>
  <c r="E218" i="32"/>
  <c r="S220" i="29" s="1"/>
  <c r="E220" i="29" s="1"/>
  <c r="D218" i="32"/>
  <c r="R220" i="29" s="1"/>
  <c r="D220" i="29" s="1"/>
  <c r="G192" i="32"/>
  <c r="Q190" i="33"/>
  <c r="G123" i="32"/>
  <c r="U126" i="29" s="1"/>
  <c r="G126" i="29" s="1"/>
  <c r="Q121" i="33"/>
  <c r="Q90" i="29"/>
  <c r="C90" i="29" s="1"/>
  <c r="Q301" i="29"/>
  <c r="C301" i="29" s="1"/>
  <c r="AD299" i="32"/>
  <c r="L301" i="28" s="1"/>
  <c r="M301" i="28" s="1"/>
  <c r="AC299" i="32"/>
  <c r="Q146" i="29"/>
  <c r="AD144" i="32"/>
  <c r="L146" i="28" s="1"/>
  <c r="M146" i="28" s="1"/>
  <c r="AC144" i="32"/>
  <c r="Q154" i="33"/>
  <c r="Q220" i="29"/>
  <c r="C220" i="29" s="1"/>
  <c r="AC106" i="32"/>
  <c r="U109" i="29"/>
  <c r="G109" i="29" s="1"/>
  <c r="Q126" i="29"/>
  <c r="C126" i="29" s="1"/>
  <c r="E87" i="32"/>
  <c r="S90" i="29" s="1"/>
  <c r="E90" i="29" s="1"/>
  <c r="D87" i="32"/>
  <c r="R90" i="29" s="1"/>
  <c r="D90" i="29" s="1"/>
  <c r="F87" i="32"/>
  <c r="T90" i="29" s="1"/>
  <c r="F90" i="29" s="1"/>
  <c r="P48" i="33"/>
  <c r="Q48" i="33" s="1"/>
  <c r="Q28" i="29"/>
  <c r="AD25" i="32"/>
  <c r="L28" i="28" s="1"/>
  <c r="M28" i="28" s="1"/>
  <c r="AC232" i="32"/>
  <c r="AD232" i="32"/>
  <c r="L234" i="28" s="1"/>
  <c r="M234" i="28" s="1"/>
  <c r="Q234" i="29"/>
  <c r="R97" i="29"/>
  <c r="AD94" i="32"/>
  <c r="L97" i="28" s="1"/>
  <c r="M97" i="28" s="1"/>
  <c r="AC281" i="32"/>
  <c r="AD281" i="32"/>
  <c r="L283" i="28" s="1"/>
  <c r="M283" i="28" s="1"/>
  <c r="Q283" i="29"/>
  <c r="C283" i="29" s="1"/>
  <c r="G58" i="32"/>
  <c r="U61" i="29" s="1"/>
  <c r="G61" i="29" s="1"/>
  <c r="Q56" i="33"/>
  <c r="Q37" i="33"/>
  <c r="AD65" i="32"/>
  <c r="L68" i="28" s="1"/>
  <c r="M68" i="28" s="1"/>
  <c r="Q211" i="29"/>
  <c r="C211" i="29" s="1"/>
  <c r="AC209" i="32"/>
  <c r="AD209" i="32"/>
  <c r="L211" i="28" s="1"/>
  <c r="M211" i="28" s="1"/>
  <c r="AG74" i="32"/>
  <c r="G77" i="28"/>
  <c r="H77" i="28" s="1"/>
  <c r="W78" i="29" s="1"/>
  <c r="Q61" i="29"/>
  <c r="C61" i="29" s="1"/>
  <c r="AC58" i="32"/>
  <c r="P111" i="33"/>
  <c r="G113" i="32" s="1"/>
  <c r="U116" i="29" s="1"/>
  <c r="G116" i="29" s="1"/>
  <c r="AC105" i="32"/>
  <c r="Q40" i="33"/>
  <c r="Q106" i="33"/>
  <c r="Q151" i="29"/>
  <c r="C151" i="29" s="1"/>
  <c r="P85" i="33"/>
  <c r="G87" i="32" s="1"/>
  <c r="U90" i="29" s="1"/>
  <c r="G90" i="29" s="1"/>
  <c r="C77" i="29"/>
  <c r="Q117" i="33"/>
  <c r="Q256" i="33"/>
  <c r="Q281" i="33"/>
  <c r="AG110" i="32"/>
  <c r="G113" i="28"/>
  <c r="H113" i="28" s="1"/>
  <c r="W115" i="29" s="1"/>
  <c r="AC48" i="32"/>
  <c r="Q122" i="29"/>
  <c r="C122" i="29" s="1"/>
  <c r="AC119" i="32"/>
  <c r="AD119" i="32"/>
  <c r="L122" i="28" s="1"/>
  <c r="M122" i="28" s="1"/>
  <c r="AC259" i="32"/>
  <c r="Q261" i="29"/>
  <c r="AD259" i="32"/>
  <c r="L261" i="28" s="1"/>
  <c r="M261" i="28" s="1"/>
  <c r="P160" i="33"/>
  <c r="G162" i="32" s="1"/>
  <c r="U165" i="29" s="1"/>
  <c r="G165" i="29" s="1"/>
  <c r="AD274" i="32"/>
  <c r="L276" i="28" s="1"/>
  <c r="M276" i="28" s="1"/>
  <c r="Q110" i="29"/>
  <c r="C110" i="29" s="1"/>
  <c r="AC108" i="32"/>
  <c r="AD108" i="32"/>
  <c r="L110" i="28" s="1"/>
  <c r="M110" i="28" s="1"/>
  <c r="C51" i="29"/>
  <c r="Q168" i="29"/>
  <c r="C168" i="29" s="1"/>
  <c r="Q134" i="29"/>
  <c r="AC131" i="32"/>
  <c r="AD131" i="32"/>
  <c r="L134" i="28" s="1"/>
  <c r="M134" i="28" s="1"/>
  <c r="AC25" i="32"/>
  <c r="P225" i="33"/>
  <c r="G228" i="32" s="1"/>
  <c r="U230" i="29" s="1"/>
  <c r="G230" i="29" s="1"/>
  <c r="AC79" i="32"/>
  <c r="AG79" i="32" s="1"/>
  <c r="G266" i="32"/>
  <c r="Q263" i="33"/>
  <c r="C113" i="29"/>
  <c r="G223" i="32"/>
  <c r="U225" i="29" s="1"/>
  <c r="G225" i="29" s="1"/>
  <c r="Q220" i="33"/>
  <c r="AC174" i="32"/>
  <c r="P96" i="33"/>
  <c r="AD48" i="32"/>
  <c r="L51" i="28" s="1"/>
  <c r="M51" i="28" s="1"/>
  <c r="P163" i="33"/>
  <c r="G165" i="32" s="1"/>
  <c r="U168" i="29" s="1"/>
  <c r="G168" i="29" s="1"/>
  <c r="E165" i="32"/>
  <c r="S168" i="29" s="1"/>
  <c r="E168" i="29" s="1"/>
  <c r="F165" i="32"/>
  <c r="T168" i="29" s="1"/>
  <c r="F168" i="29" s="1"/>
  <c r="D165" i="32"/>
  <c r="R168" i="29" s="1"/>
  <c r="D168" i="29" s="1"/>
  <c r="Q139" i="29"/>
  <c r="C139" i="29" s="1"/>
  <c r="G46" i="28"/>
  <c r="H46" i="28" s="1"/>
  <c r="AG43" i="32"/>
  <c r="Q101" i="29"/>
  <c r="G97" i="28"/>
  <c r="H97" i="28" s="1"/>
  <c r="Q14" i="29"/>
  <c r="C14" i="29" s="1"/>
  <c r="AD12" i="32"/>
  <c r="L14" i="28" s="1"/>
  <c r="M14" i="28" s="1"/>
  <c r="AC12" i="32"/>
  <c r="Q158" i="33"/>
  <c r="Q62" i="33"/>
  <c r="Q119" i="33"/>
  <c r="AC34" i="32"/>
  <c r="G37" i="28" s="1"/>
  <c r="H37" i="28" s="1"/>
  <c r="Q233" i="33"/>
  <c r="Q183" i="33"/>
  <c r="Q78" i="29"/>
  <c r="C78" i="29" s="1"/>
  <c r="F98" i="32"/>
  <c r="T101" i="29" s="1"/>
  <c r="F101" i="29" s="1"/>
  <c r="E98" i="32"/>
  <c r="S101" i="29" s="1"/>
  <c r="E101" i="29" s="1"/>
  <c r="D98" i="32"/>
  <c r="R101" i="29" s="1"/>
  <c r="D101" i="29" s="1"/>
  <c r="Q184" i="33"/>
  <c r="E205" i="32"/>
  <c r="S208" i="29" s="1"/>
  <c r="E208" i="29" s="1"/>
  <c r="D205" i="32"/>
  <c r="R208" i="29" s="1"/>
  <c r="D208" i="29" s="1"/>
  <c r="F205" i="32"/>
  <c r="T208" i="29" s="1"/>
  <c r="F208" i="29" s="1"/>
  <c r="AG148" i="32"/>
  <c r="G150" i="28"/>
  <c r="H150" i="28" s="1"/>
  <c r="Q197" i="29"/>
  <c r="C197" i="29" s="1"/>
  <c r="AD178" i="32"/>
  <c r="L181" i="28" s="1"/>
  <c r="M181" i="28" s="1"/>
  <c r="AG132" i="32"/>
  <c r="G135" i="28"/>
  <c r="H135" i="28" s="1"/>
  <c r="AC229" i="32"/>
  <c r="AD21" i="32"/>
  <c r="L24" i="28" s="1"/>
  <c r="M24" i="28" s="1"/>
  <c r="Q184" i="29"/>
  <c r="C184" i="29" s="1"/>
  <c r="AD296" i="32"/>
  <c r="L298" i="28" s="1"/>
  <c r="M298" i="28" s="1"/>
  <c r="G92" i="28"/>
  <c r="H92" i="28" s="1"/>
  <c r="Q182" i="29"/>
  <c r="C182" i="29" s="1"/>
  <c r="F260" i="32"/>
  <c r="T262" i="29" s="1"/>
  <c r="F262" i="29" s="1"/>
  <c r="E260" i="32"/>
  <c r="S262" i="29" s="1"/>
  <c r="E262" i="29" s="1"/>
  <c r="D260" i="32"/>
  <c r="R262" i="29" s="1"/>
  <c r="D262" i="29" s="1"/>
  <c r="AC298" i="32"/>
  <c r="AC83" i="32"/>
  <c r="AG9" i="32"/>
  <c r="G11" i="28"/>
  <c r="H11" i="28" s="1"/>
  <c r="AC95" i="32"/>
  <c r="Q166" i="29"/>
  <c r="C166" i="29" s="1"/>
  <c r="F138" i="32"/>
  <c r="T140" i="29" s="1"/>
  <c r="F140" i="29" s="1"/>
  <c r="E138" i="32"/>
  <c r="S140" i="29" s="1"/>
  <c r="E140" i="29" s="1"/>
  <c r="D138" i="32"/>
  <c r="R140" i="29" s="1"/>
  <c r="D140" i="29" s="1"/>
  <c r="U207" i="29"/>
  <c r="G207" i="29" s="1"/>
  <c r="AD208" i="32"/>
  <c r="L207" i="28" s="1"/>
  <c r="M207" i="28" s="1"/>
  <c r="AC208" i="32"/>
  <c r="AD289" i="32"/>
  <c r="L291" i="28" s="1"/>
  <c r="M291" i="28" s="1"/>
  <c r="AD172" i="32"/>
  <c r="L175" i="28" s="1"/>
  <c r="M175" i="28" s="1"/>
  <c r="Q79" i="29"/>
  <c r="C79" i="29" s="1"/>
  <c r="Q203" i="29"/>
  <c r="C203" i="29" s="1"/>
  <c r="AD247" i="32"/>
  <c r="L249" i="28" s="1"/>
  <c r="M249" i="28" s="1"/>
  <c r="Q196" i="29"/>
  <c r="C196" i="29" s="1"/>
  <c r="AD121" i="32"/>
  <c r="L124" i="28" s="1"/>
  <c r="M124" i="28" s="1"/>
  <c r="P27" i="33"/>
  <c r="G29" i="32" s="1"/>
  <c r="U32" i="29" s="1"/>
  <c r="G32" i="29" s="1"/>
  <c r="AD292" i="32"/>
  <c r="L294" i="28" s="1"/>
  <c r="M294" i="28" s="1"/>
  <c r="AC159" i="32"/>
  <c r="P258" i="33"/>
  <c r="G261" i="32" s="1"/>
  <c r="U263" i="29" s="1"/>
  <c r="G263" i="29" s="1"/>
  <c r="AG71" i="32"/>
  <c r="G74" i="28"/>
  <c r="H74" i="28" s="1"/>
  <c r="Q300" i="33"/>
  <c r="AD254" i="32"/>
  <c r="L256" i="28" s="1"/>
  <c r="M256" i="28" s="1"/>
  <c r="AC254" i="32"/>
  <c r="W155" i="29"/>
  <c r="X154" i="29"/>
  <c r="AG18" i="32"/>
  <c r="G21" i="28"/>
  <c r="H21" i="28" s="1"/>
  <c r="AD229" i="32"/>
  <c r="L231" i="28" s="1"/>
  <c r="M231" i="28" s="1"/>
  <c r="AC21" i="32"/>
  <c r="AC307" i="32"/>
  <c r="E181" i="32"/>
  <c r="S184" i="29" s="1"/>
  <c r="E184" i="29" s="1"/>
  <c r="D181" i="32"/>
  <c r="R184" i="29" s="1"/>
  <c r="D184" i="29" s="1"/>
  <c r="F181" i="32"/>
  <c r="T184" i="29" s="1"/>
  <c r="F184" i="29" s="1"/>
  <c r="F179" i="32"/>
  <c r="T182" i="29" s="1"/>
  <c r="F182" i="29" s="1"/>
  <c r="E179" i="32"/>
  <c r="S182" i="29" s="1"/>
  <c r="E182" i="29" s="1"/>
  <c r="D179" i="32"/>
  <c r="R182" i="29" s="1"/>
  <c r="D182" i="29" s="1"/>
  <c r="AD298" i="32"/>
  <c r="L300" i="28" s="1"/>
  <c r="M300" i="28" s="1"/>
  <c r="AC204" i="32"/>
  <c r="AG11" i="32"/>
  <c r="G13" i="28"/>
  <c r="H13" i="28" s="1"/>
  <c r="AD83" i="32"/>
  <c r="L86" i="28" s="1"/>
  <c r="M86" i="28" s="1"/>
  <c r="AC128" i="32"/>
  <c r="Q18" i="33"/>
  <c r="Q29" i="29"/>
  <c r="C29" i="29" s="1"/>
  <c r="AC305" i="32"/>
  <c r="AD95" i="32"/>
  <c r="L98" i="28" s="1"/>
  <c r="M98" i="28" s="1"/>
  <c r="Q139" i="33"/>
  <c r="F163" i="32"/>
  <c r="T166" i="29" s="1"/>
  <c r="F166" i="29" s="1"/>
  <c r="E163" i="32"/>
  <c r="S166" i="29" s="1"/>
  <c r="E166" i="29" s="1"/>
  <c r="D163" i="32"/>
  <c r="R166" i="29" s="1"/>
  <c r="D166" i="29" s="1"/>
  <c r="AC168" i="32"/>
  <c r="U62" i="29"/>
  <c r="G62" i="29" s="1"/>
  <c r="AD59" i="32"/>
  <c r="L62" i="28" s="1"/>
  <c r="M62" i="28" s="1"/>
  <c r="AC59" i="32"/>
  <c r="F76" i="32"/>
  <c r="T79" i="29" s="1"/>
  <c r="F79" i="29" s="1"/>
  <c r="E76" i="32"/>
  <c r="S79" i="29" s="1"/>
  <c r="E79" i="29" s="1"/>
  <c r="D76" i="32"/>
  <c r="R79" i="29" s="1"/>
  <c r="D79" i="29" s="1"/>
  <c r="P228" i="33"/>
  <c r="E201" i="32"/>
  <c r="S203" i="29" s="1"/>
  <c r="E203" i="29" s="1"/>
  <c r="D201" i="32"/>
  <c r="R203" i="29" s="1"/>
  <c r="D203" i="29" s="1"/>
  <c r="F201" i="32"/>
  <c r="T203" i="29" s="1"/>
  <c r="F203" i="29" s="1"/>
  <c r="AC243" i="32"/>
  <c r="AC22" i="32"/>
  <c r="D193" i="32"/>
  <c r="R196" i="29" s="1"/>
  <c r="D196" i="29" s="1"/>
  <c r="F193" i="32"/>
  <c r="T196" i="29" s="1"/>
  <c r="F196" i="29" s="1"/>
  <c r="E193" i="32"/>
  <c r="S196" i="29" s="1"/>
  <c r="E196" i="29" s="1"/>
  <c r="AC121" i="32"/>
  <c r="Q32" i="29"/>
  <c r="C32" i="29" s="1"/>
  <c r="AC292" i="32"/>
  <c r="AD159" i="32"/>
  <c r="L162" i="28" s="1"/>
  <c r="M162" i="28" s="1"/>
  <c r="AC104" i="32"/>
  <c r="F271" i="32"/>
  <c r="T273" i="29" s="1"/>
  <c r="F273" i="29" s="1"/>
  <c r="E271" i="32"/>
  <c r="S273" i="29" s="1"/>
  <c r="E273" i="29" s="1"/>
  <c r="D271" i="32"/>
  <c r="R273" i="29" s="1"/>
  <c r="D273" i="29" s="1"/>
  <c r="Q286" i="33"/>
  <c r="AG227" i="32"/>
  <c r="G229" i="28"/>
  <c r="H229" i="28" s="1"/>
  <c r="AD220" i="32"/>
  <c r="L222" i="28" s="1"/>
  <c r="M222" i="28" s="1"/>
  <c r="AC224" i="32"/>
  <c r="AC303" i="32"/>
  <c r="U255" i="29"/>
  <c r="G255" i="29" s="1"/>
  <c r="AD253" i="32"/>
  <c r="L255" i="28" s="1"/>
  <c r="M255" i="28" s="1"/>
  <c r="AC253" i="32"/>
  <c r="AD307" i="32"/>
  <c r="L310" i="28" s="1"/>
  <c r="M310" i="28" s="1"/>
  <c r="Q179" i="33"/>
  <c r="AD251" i="32"/>
  <c r="L253" i="28" s="1"/>
  <c r="M253" i="28" s="1"/>
  <c r="AG68" i="32"/>
  <c r="G71" i="28"/>
  <c r="H71" i="28" s="1"/>
  <c r="AD204" i="32"/>
  <c r="L206" i="28" s="1"/>
  <c r="M206" i="28" s="1"/>
  <c r="AD128" i="32"/>
  <c r="L131" i="28" s="1"/>
  <c r="M131" i="28" s="1"/>
  <c r="F26" i="32"/>
  <c r="T29" i="29" s="1"/>
  <c r="F29" i="29" s="1"/>
  <c r="E26" i="32"/>
  <c r="S29" i="29" s="1"/>
  <c r="E29" i="29" s="1"/>
  <c r="D26" i="32"/>
  <c r="R29" i="29" s="1"/>
  <c r="D29" i="29" s="1"/>
  <c r="W84" i="29"/>
  <c r="X83" i="29"/>
  <c r="AG34" i="32"/>
  <c r="AD305" i="32"/>
  <c r="L308" i="28" s="1"/>
  <c r="M308" i="28" s="1"/>
  <c r="AC57" i="32"/>
  <c r="Q157" i="33"/>
  <c r="AC69" i="32"/>
  <c r="AC177" i="32"/>
  <c r="AD168" i="32"/>
  <c r="L171" i="28" s="1"/>
  <c r="M171" i="28" s="1"/>
  <c r="AD243" i="32"/>
  <c r="L245" i="28" s="1"/>
  <c r="M245" i="28" s="1"/>
  <c r="Q221" i="29"/>
  <c r="C221" i="29" s="1"/>
  <c r="AD22" i="32"/>
  <c r="L25" i="28" s="1"/>
  <c r="M25" i="28" s="1"/>
  <c r="F29" i="32"/>
  <c r="T32" i="29" s="1"/>
  <c r="F32" i="29" s="1"/>
  <c r="E29" i="32"/>
  <c r="S32" i="29" s="1"/>
  <c r="E32" i="29" s="1"/>
  <c r="D29" i="32"/>
  <c r="R32" i="29" s="1"/>
  <c r="D32" i="29" s="1"/>
  <c r="AC40" i="32"/>
  <c r="W104" i="29"/>
  <c r="X103" i="29"/>
  <c r="AD104" i="32"/>
  <c r="L107" i="28" s="1"/>
  <c r="M107" i="28" s="1"/>
  <c r="Q273" i="29"/>
  <c r="C273" i="29" s="1"/>
  <c r="Q284" i="33"/>
  <c r="X315" i="29"/>
  <c r="W315" i="29"/>
  <c r="P192" i="33"/>
  <c r="G194" i="32" s="1"/>
  <c r="U197" i="29" s="1"/>
  <c r="G197" i="29" s="1"/>
  <c r="AG102" i="32"/>
  <c r="G105" i="28"/>
  <c r="H105" i="28" s="1"/>
  <c r="AC213" i="32"/>
  <c r="AD263" i="32"/>
  <c r="L265" i="28" s="1"/>
  <c r="M265" i="28" s="1"/>
  <c r="AG127" i="32"/>
  <c r="G130" i="28"/>
  <c r="H130" i="28" s="1"/>
  <c r="AG72" i="32"/>
  <c r="G75" i="28"/>
  <c r="H75" i="28" s="1"/>
  <c r="AC220" i="32"/>
  <c r="AD224" i="32"/>
  <c r="L226" i="28" s="1"/>
  <c r="M226" i="28" s="1"/>
  <c r="AD303" i="32"/>
  <c r="L305" i="28" s="1"/>
  <c r="M305" i="28" s="1"/>
  <c r="AG203" i="32"/>
  <c r="G205" i="28"/>
  <c r="H205" i="28" s="1"/>
  <c r="AG107" i="32"/>
  <c r="G111" i="28"/>
  <c r="H111" i="28" s="1"/>
  <c r="Q165" i="29"/>
  <c r="C165" i="29" s="1"/>
  <c r="AC251" i="32"/>
  <c r="Q53" i="29"/>
  <c r="C53" i="29" s="1"/>
  <c r="P257" i="33"/>
  <c r="G260" i="32" s="1"/>
  <c r="U262" i="29" s="1"/>
  <c r="G262" i="29" s="1"/>
  <c r="AC142" i="32"/>
  <c r="Q54" i="33"/>
  <c r="M321" i="33"/>
  <c r="F8" i="32"/>
  <c r="E8" i="32"/>
  <c r="D8" i="32"/>
  <c r="AG137" i="32"/>
  <c r="G18" i="28"/>
  <c r="H18" i="28" s="1"/>
  <c r="AC31" i="32"/>
  <c r="AC287" i="32"/>
  <c r="AD57" i="32"/>
  <c r="L60" i="28" s="1"/>
  <c r="M60" i="28" s="1"/>
  <c r="P135" i="33"/>
  <c r="G138" i="32" s="1"/>
  <c r="U140" i="29" s="1"/>
  <c r="G140" i="29" s="1"/>
  <c r="Q191" i="29"/>
  <c r="C191" i="29" s="1"/>
  <c r="AD69" i="32"/>
  <c r="L72" i="28" s="1"/>
  <c r="M72" i="28" s="1"/>
  <c r="AD177" i="32"/>
  <c r="L180" i="28" s="1"/>
  <c r="M180" i="28" s="1"/>
  <c r="AG164" i="32"/>
  <c r="G167" i="28"/>
  <c r="H167" i="28" s="1"/>
  <c r="AD145" i="32"/>
  <c r="L147" i="28" s="1"/>
  <c r="M147" i="28" s="1"/>
  <c r="AC284" i="32"/>
  <c r="AD103" i="32"/>
  <c r="L106" i="28" s="1"/>
  <c r="M106" i="28" s="1"/>
  <c r="AC64" i="32"/>
  <c r="X88" i="29"/>
  <c r="W89" i="29"/>
  <c r="E219" i="32"/>
  <c r="S221" i="29" s="1"/>
  <c r="E221" i="29" s="1"/>
  <c r="D219" i="32"/>
  <c r="R221" i="29" s="1"/>
  <c r="D221" i="29" s="1"/>
  <c r="F219" i="32"/>
  <c r="T221" i="29" s="1"/>
  <c r="F221" i="29" s="1"/>
  <c r="AC154" i="32"/>
  <c r="AD40" i="32"/>
  <c r="L43" i="28" s="1"/>
  <c r="M43" i="28" s="1"/>
  <c r="P76" i="33"/>
  <c r="G78" i="32" s="1"/>
  <c r="U81" i="29" s="1"/>
  <c r="G81" i="29" s="1"/>
  <c r="W199" i="29"/>
  <c r="X199" i="29"/>
  <c r="Q187" i="33"/>
  <c r="AC19" i="32"/>
  <c r="P203" i="33"/>
  <c r="G205" i="32" s="1"/>
  <c r="U208" i="29" s="1"/>
  <c r="G208" i="29" s="1"/>
  <c r="AG196" i="32"/>
  <c r="G198" i="28"/>
  <c r="H198" i="28" s="1"/>
  <c r="AD213" i="32"/>
  <c r="L215" i="28" s="1"/>
  <c r="M215" i="28" s="1"/>
  <c r="AC263" i="32"/>
  <c r="AC161" i="32"/>
  <c r="Q116" i="29"/>
  <c r="C116" i="29" s="1"/>
  <c r="G32" i="32"/>
  <c r="AD32" i="32" s="1"/>
  <c r="L35" i="28" s="1"/>
  <c r="M35" i="28" s="1"/>
  <c r="Q30" i="33"/>
  <c r="Q230" i="29"/>
  <c r="C230" i="29" s="1"/>
  <c r="W248" i="29"/>
  <c r="X248" i="29"/>
  <c r="Q142" i="33"/>
  <c r="F162" i="32"/>
  <c r="T165" i="29" s="1"/>
  <c r="F165" i="29" s="1"/>
  <c r="E162" i="32"/>
  <c r="S165" i="29" s="1"/>
  <c r="E165" i="29" s="1"/>
  <c r="D162" i="32"/>
  <c r="R165" i="29" s="1"/>
  <c r="D165" i="29" s="1"/>
  <c r="Q274" i="29"/>
  <c r="C274" i="29" s="1"/>
  <c r="F50" i="32"/>
  <c r="T53" i="29" s="1"/>
  <c r="F53" i="29" s="1"/>
  <c r="E50" i="32"/>
  <c r="S53" i="29" s="1"/>
  <c r="E53" i="29" s="1"/>
  <c r="D50" i="32"/>
  <c r="R53" i="29" s="1"/>
  <c r="D53" i="29" s="1"/>
  <c r="AD142" i="32"/>
  <c r="L144" i="28" s="1"/>
  <c r="M144" i="28" s="1"/>
  <c r="AD31" i="32"/>
  <c r="L34" i="28" s="1"/>
  <c r="M34" i="28" s="1"/>
  <c r="P326" i="28"/>
  <c r="P331" i="28" s="1"/>
  <c r="Q10" i="28"/>
  <c r="AD287" i="32"/>
  <c r="L289" i="28" s="1"/>
  <c r="M289" i="28" s="1"/>
  <c r="Q244" i="33"/>
  <c r="D188" i="32"/>
  <c r="R191" i="29" s="1"/>
  <c r="D191" i="29" s="1"/>
  <c r="F188" i="32"/>
  <c r="T191" i="29" s="1"/>
  <c r="F191" i="29" s="1"/>
  <c r="E188" i="32"/>
  <c r="S191" i="29" s="1"/>
  <c r="E191" i="29" s="1"/>
  <c r="AG288" i="32"/>
  <c r="G290" i="28"/>
  <c r="H290" i="28" s="1"/>
  <c r="Q285" i="29"/>
  <c r="C285" i="29" s="1"/>
  <c r="AC145" i="32"/>
  <c r="P74" i="33"/>
  <c r="G76" i="32" s="1"/>
  <c r="U79" i="29" s="1"/>
  <c r="G79" i="29" s="1"/>
  <c r="AD284" i="32"/>
  <c r="L286" i="28" s="1"/>
  <c r="M286" i="28" s="1"/>
  <c r="AC103" i="32"/>
  <c r="AC66" i="32"/>
  <c r="P198" i="33"/>
  <c r="G201" i="32" s="1"/>
  <c r="U203" i="29" s="1"/>
  <c r="G203" i="29" s="1"/>
  <c r="AD64" i="32"/>
  <c r="L67" i="28" s="1"/>
  <c r="M67" i="28" s="1"/>
  <c r="AD154" i="32"/>
  <c r="L156" i="28" s="1"/>
  <c r="M156" i="28" s="1"/>
  <c r="AG267" i="32"/>
  <c r="G269" i="28"/>
  <c r="H269" i="28" s="1"/>
  <c r="Q251" i="33"/>
  <c r="AC77" i="32"/>
  <c r="Q81" i="29"/>
  <c r="C81" i="29" s="1"/>
  <c r="Q20" i="33"/>
  <c r="Q147" i="33"/>
  <c r="E272" i="32"/>
  <c r="S274" i="29" s="1"/>
  <c r="E274" i="29" s="1"/>
  <c r="D272" i="32"/>
  <c r="R274" i="29" s="1"/>
  <c r="D274" i="29" s="1"/>
  <c r="F272" i="32"/>
  <c r="T274" i="29" s="1"/>
  <c r="F274" i="29" s="1"/>
  <c r="Q262" i="29"/>
  <c r="C262" i="29" s="1"/>
  <c r="AG60" i="32"/>
  <c r="G63" i="28"/>
  <c r="H63" i="28" s="1"/>
  <c r="N321" i="33"/>
  <c r="AG45" i="32"/>
  <c r="G48" i="28"/>
  <c r="H48" i="28" s="1"/>
  <c r="AG105" i="32"/>
  <c r="G108" i="28"/>
  <c r="H108" i="28" s="1"/>
  <c r="AG286" i="32"/>
  <c r="G288" i="28"/>
  <c r="H288" i="28" s="1"/>
  <c r="AG10" i="32"/>
  <c r="G12" i="28"/>
  <c r="H12" i="28" s="1"/>
  <c r="Q96" i="29"/>
  <c r="C96" i="29" s="1"/>
  <c r="F283" i="32"/>
  <c r="T285" i="29" s="1"/>
  <c r="F285" i="29" s="1"/>
  <c r="E283" i="32"/>
  <c r="S285" i="29" s="1"/>
  <c r="E285" i="29" s="1"/>
  <c r="D283" i="32"/>
  <c r="R285" i="29" s="1"/>
  <c r="D285" i="29" s="1"/>
  <c r="AC160" i="32"/>
  <c r="W260" i="29"/>
  <c r="X260" i="29"/>
  <c r="AD66" i="32"/>
  <c r="L69" i="28" s="1"/>
  <c r="M69" i="28" s="1"/>
  <c r="F176" i="32"/>
  <c r="T179" i="29" s="1"/>
  <c r="F179" i="29" s="1"/>
  <c r="E176" i="32"/>
  <c r="S179" i="29" s="1"/>
  <c r="E179" i="29" s="1"/>
  <c r="D176" i="32"/>
  <c r="R179" i="29" s="1"/>
  <c r="D179" i="29" s="1"/>
  <c r="P216" i="33"/>
  <c r="G219" i="32" s="1"/>
  <c r="U221" i="29" s="1"/>
  <c r="G221" i="29" s="1"/>
  <c r="AC190" i="32"/>
  <c r="X125" i="29"/>
  <c r="W127" i="29"/>
  <c r="Q17" i="33"/>
  <c r="F120" i="32"/>
  <c r="T123" i="29" s="1"/>
  <c r="F123" i="29" s="1"/>
  <c r="E120" i="32"/>
  <c r="S123" i="29" s="1"/>
  <c r="E123" i="29" s="1"/>
  <c r="D120" i="32"/>
  <c r="R123" i="29" s="1"/>
  <c r="D123" i="29" s="1"/>
  <c r="AD77" i="32"/>
  <c r="L80" i="28" s="1"/>
  <c r="M80" i="28" s="1"/>
  <c r="W100" i="29"/>
  <c r="X99" i="29"/>
  <c r="E78" i="32"/>
  <c r="S81" i="29" s="1"/>
  <c r="E81" i="29" s="1"/>
  <c r="D78" i="32"/>
  <c r="R81" i="29" s="1"/>
  <c r="D81" i="29" s="1"/>
  <c r="F78" i="32"/>
  <c r="T81" i="29" s="1"/>
  <c r="F81" i="29" s="1"/>
  <c r="Q170" i="33"/>
  <c r="Q297" i="33"/>
  <c r="Q189" i="33"/>
  <c r="AG237" i="32"/>
  <c r="G239" i="28"/>
  <c r="H239" i="28" s="1"/>
  <c r="AG282" i="32"/>
  <c r="G284" i="28"/>
  <c r="H284" i="28" s="1"/>
  <c r="AD118" i="32"/>
  <c r="L121" i="28" s="1"/>
  <c r="M121" i="28" s="1"/>
  <c r="AC112" i="32"/>
  <c r="AD239" i="32"/>
  <c r="L241" i="28" s="1"/>
  <c r="M241" i="28" s="1"/>
  <c r="AC300" i="32"/>
  <c r="AC235" i="32"/>
  <c r="AC42" i="32"/>
  <c r="O321" i="33"/>
  <c r="G290" i="32"/>
  <c r="U292" i="29" s="1"/>
  <c r="G292" i="29" s="1"/>
  <c r="Q287" i="33"/>
  <c r="AC35" i="32"/>
  <c r="AD105" i="32"/>
  <c r="L108" i="28" s="1"/>
  <c r="M108" i="28" s="1"/>
  <c r="AC280" i="32"/>
  <c r="Q239" i="33"/>
  <c r="AG285" i="32"/>
  <c r="G287" i="28"/>
  <c r="H287" i="28" s="1"/>
  <c r="AC268" i="32"/>
  <c r="Q172" i="29"/>
  <c r="C172" i="29" s="1"/>
  <c r="F151" i="32"/>
  <c r="T153" i="29" s="1"/>
  <c r="F153" i="29" s="1"/>
  <c r="E151" i="32"/>
  <c r="S153" i="29" s="1"/>
  <c r="E153" i="29" s="1"/>
  <c r="D151" i="32"/>
  <c r="R153" i="29" s="1"/>
  <c r="D153" i="29" s="1"/>
  <c r="AD160" i="32"/>
  <c r="L163" i="28" s="1"/>
  <c r="M163" i="28" s="1"/>
  <c r="AC141" i="32"/>
  <c r="Q297" i="29"/>
  <c r="C297" i="29" s="1"/>
  <c r="Q179" i="29"/>
  <c r="C179" i="29" s="1"/>
  <c r="AD190" i="32"/>
  <c r="L193" i="28" s="1"/>
  <c r="M193" i="28" s="1"/>
  <c r="X49" i="29"/>
  <c r="W50" i="29"/>
  <c r="AC147" i="32"/>
  <c r="Q123" i="29"/>
  <c r="C123" i="29" s="1"/>
  <c r="Q51" i="33"/>
  <c r="Q38" i="33"/>
  <c r="Q235" i="33"/>
  <c r="AD161" i="32"/>
  <c r="L164" i="28" s="1"/>
  <c r="M164" i="28" s="1"/>
  <c r="E155" i="32"/>
  <c r="S157" i="29" s="1"/>
  <c r="E157" i="29" s="1"/>
  <c r="D155" i="32"/>
  <c r="R157" i="29" s="1"/>
  <c r="D157" i="29" s="1"/>
  <c r="F155" i="32"/>
  <c r="T157" i="29" s="1"/>
  <c r="F157" i="29" s="1"/>
  <c r="AG245" i="32"/>
  <c r="G247" i="28"/>
  <c r="H247" i="28" s="1"/>
  <c r="AC236" i="32"/>
  <c r="AC140" i="32"/>
  <c r="AG156" i="32"/>
  <c r="G159" i="28"/>
  <c r="H159" i="28" s="1"/>
  <c r="AD112" i="32"/>
  <c r="L115" i="28" s="1"/>
  <c r="M115" i="28" s="1"/>
  <c r="AC239" i="32"/>
  <c r="AG187" i="32"/>
  <c r="G190" i="28"/>
  <c r="H190" i="28" s="1"/>
  <c r="AD300" i="32"/>
  <c r="L302" i="28" s="1"/>
  <c r="M302" i="28" s="1"/>
  <c r="AD235" i="32"/>
  <c r="L237" i="28" s="1"/>
  <c r="M237" i="28" s="1"/>
  <c r="P89" i="33"/>
  <c r="G91" i="32" s="1"/>
  <c r="U94" i="29" s="1"/>
  <c r="G94" i="29" s="1"/>
  <c r="AG182" i="32"/>
  <c r="G185" i="28"/>
  <c r="H185" i="28" s="1"/>
  <c r="AG199" i="32"/>
  <c r="G201" i="28"/>
  <c r="H201" i="28" s="1"/>
  <c r="AD42" i="32"/>
  <c r="L45" i="28" s="1"/>
  <c r="M45" i="28" s="1"/>
  <c r="P5" i="33"/>
  <c r="W65" i="29"/>
  <c r="X64" i="29"/>
  <c r="AG238" i="32"/>
  <c r="G240" i="28"/>
  <c r="H240" i="28" s="1"/>
  <c r="AD35" i="32"/>
  <c r="L38" i="28" s="1"/>
  <c r="M38" i="28" s="1"/>
  <c r="G55" i="32"/>
  <c r="U58" i="29" s="1"/>
  <c r="G58" i="29" s="1"/>
  <c r="Q53" i="33"/>
  <c r="AD280" i="32"/>
  <c r="L282" i="28" s="1"/>
  <c r="M282" i="28" s="1"/>
  <c r="AC90" i="32"/>
  <c r="F93" i="32"/>
  <c r="T96" i="29" s="1"/>
  <c r="F96" i="29" s="1"/>
  <c r="E93" i="32"/>
  <c r="S96" i="29" s="1"/>
  <c r="E96" i="29" s="1"/>
  <c r="D93" i="32"/>
  <c r="R96" i="29" s="1"/>
  <c r="D96" i="29" s="1"/>
  <c r="P186" i="33"/>
  <c r="AC114" i="32"/>
  <c r="AD268" i="32"/>
  <c r="L270" i="28" s="1"/>
  <c r="M270" i="28" s="1"/>
  <c r="F169" i="32"/>
  <c r="T172" i="29" s="1"/>
  <c r="F172" i="29" s="1"/>
  <c r="E169" i="32"/>
  <c r="S172" i="29" s="1"/>
  <c r="E172" i="29" s="1"/>
  <c r="D169" i="32"/>
  <c r="R172" i="29" s="1"/>
  <c r="D172" i="29" s="1"/>
  <c r="P261" i="33"/>
  <c r="AD141" i="32"/>
  <c r="L143" i="28" s="1"/>
  <c r="M143" i="28" s="1"/>
  <c r="AD56" i="32"/>
  <c r="L59" i="28" s="1"/>
  <c r="M59" i="28" s="1"/>
  <c r="F295" i="32"/>
  <c r="T297" i="29" s="1"/>
  <c r="F297" i="29" s="1"/>
  <c r="E295" i="32"/>
  <c r="S297" i="29" s="1"/>
  <c r="E297" i="29" s="1"/>
  <c r="D295" i="32"/>
  <c r="R297" i="29" s="1"/>
  <c r="D297" i="29" s="1"/>
  <c r="AD147" i="32"/>
  <c r="L149" i="28" s="1"/>
  <c r="M149" i="28" s="1"/>
  <c r="Q303" i="33"/>
  <c r="Q218" i="33"/>
  <c r="D228" i="32"/>
  <c r="R230" i="29" s="1"/>
  <c r="D230" i="29" s="1"/>
  <c r="F228" i="32"/>
  <c r="T230" i="29" s="1"/>
  <c r="F230" i="29" s="1"/>
  <c r="E228" i="32"/>
  <c r="S230" i="29" s="1"/>
  <c r="E230" i="29" s="1"/>
  <c r="AG88" i="32"/>
  <c r="G91" i="28"/>
  <c r="H91" i="28" s="1"/>
  <c r="AD236" i="32"/>
  <c r="L238" i="28" s="1"/>
  <c r="M238" i="28" s="1"/>
  <c r="AG241" i="32"/>
  <c r="G243" i="28"/>
  <c r="H243" i="28" s="1"/>
  <c r="AG27" i="32"/>
  <c r="G30" i="28"/>
  <c r="H30" i="28" s="1"/>
  <c r="AD140" i="32"/>
  <c r="L142" i="28" s="1"/>
  <c r="M142" i="28" s="1"/>
  <c r="W71" i="29"/>
  <c r="X70" i="29"/>
  <c r="AC53" i="32"/>
  <c r="AG311" i="32"/>
  <c r="G313" i="28"/>
  <c r="H313" i="28" s="1"/>
  <c r="AD221" i="32"/>
  <c r="L223" i="28" s="1"/>
  <c r="M223" i="28" s="1"/>
  <c r="W282" i="29"/>
  <c r="X281" i="29"/>
  <c r="AG274" i="32"/>
  <c r="G276" i="28"/>
  <c r="H276" i="28" s="1"/>
  <c r="AG153" i="32"/>
  <c r="G155" i="28"/>
  <c r="H155" i="28" s="1"/>
  <c r="Q309" i="29"/>
  <c r="C309" i="29" s="1"/>
  <c r="AG84" i="32"/>
  <c r="G87" i="28"/>
  <c r="H87" i="28" s="1"/>
  <c r="L321" i="33"/>
  <c r="C8" i="32"/>
  <c r="W273" i="29"/>
  <c r="W272" i="29"/>
  <c r="X272" i="29"/>
  <c r="AC130" i="32"/>
  <c r="AG175" i="32"/>
  <c r="G178" i="28"/>
  <c r="H178" i="28" s="1"/>
  <c r="AG301" i="32"/>
  <c r="G303" i="28"/>
  <c r="H303" i="28" s="1"/>
  <c r="AD114" i="32"/>
  <c r="L117" i="28" s="1"/>
  <c r="M117" i="28" s="1"/>
  <c r="P280" i="33"/>
  <c r="G283" i="32" s="1"/>
  <c r="U285" i="29" s="1"/>
  <c r="G285" i="29" s="1"/>
  <c r="W271" i="29"/>
  <c r="X271" i="29"/>
  <c r="AG309" i="32"/>
  <c r="G311" i="28"/>
  <c r="H311" i="28" s="1"/>
  <c r="AG44" i="32"/>
  <c r="G47" i="28"/>
  <c r="H47" i="28" s="1"/>
  <c r="Q266" i="29"/>
  <c r="C266" i="29" s="1"/>
  <c r="W139" i="29"/>
  <c r="X137" i="29"/>
  <c r="AC56" i="32"/>
  <c r="AD189" i="32"/>
  <c r="L192" i="28" s="1"/>
  <c r="M192" i="28" s="1"/>
  <c r="AC240" i="32"/>
  <c r="Q263" i="29"/>
  <c r="C263" i="29" s="1"/>
  <c r="P118" i="33"/>
  <c r="G120" i="32" s="1"/>
  <c r="U123" i="29" s="1"/>
  <c r="G123" i="29" s="1"/>
  <c r="Q199" i="33"/>
  <c r="Q221" i="33"/>
  <c r="AG115" i="32"/>
  <c r="G118" i="28"/>
  <c r="H118" i="28" s="1"/>
  <c r="AC118" i="32"/>
  <c r="Q157" i="29"/>
  <c r="C157" i="29" s="1"/>
  <c r="G28" i="32"/>
  <c r="U31" i="29" s="1"/>
  <c r="G31" i="29" s="1"/>
  <c r="Q26" i="33"/>
  <c r="Q19" i="33"/>
  <c r="AD53" i="32"/>
  <c r="L56" i="28" s="1"/>
  <c r="M56" i="28" s="1"/>
  <c r="Q226" i="33"/>
  <c r="AC221" i="32"/>
  <c r="AC273" i="32"/>
  <c r="P269" i="33"/>
  <c r="G272" i="32" s="1"/>
  <c r="U274" i="29" s="1"/>
  <c r="G274" i="29" s="1"/>
  <c r="Q94" i="29"/>
  <c r="C94" i="29" s="1"/>
  <c r="F306" i="32"/>
  <c r="T309" i="29" s="1"/>
  <c r="F309" i="29" s="1"/>
  <c r="D306" i="32"/>
  <c r="R309" i="29" s="1"/>
  <c r="D309" i="29" s="1"/>
  <c r="E306" i="32"/>
  <c r="S309" i="29" s="1"/>
  <c r="E309" i="29" s="1"/>
  <c r="W18" i="29"/>
  <c r="X138" i="29"/>
  <c r="AD130" i="32"/>
  <c r="L133" i="28" s="1"/>
  <c r="M133" i="28" s="1"/>
  <c r="Q137" i="33"/>
  <c r="W163" i="29"/>
  <c r="X161" i="29"/>
  <c r="AG276" i="32"/>
  <c r="G278" i="28"/>
  <c r="H278" i="28" s="1"/>
  <c r="AG184" i="32"/>
  <c r="G187" i="28"/>
  <c r="H187" i="28" s="1"/>
  <c r="P162" i="33"/>
  <c r="G163" i="32" s="1"/>
  <c r="U166" i="29" s="1"/>
  <c r="G166" i="29" s="1"/>
  <c r="G99" i="32"/>
  <c r="U102" i="29" s="1"/>
  <c r="G102" i="29" s="1"/>
  <c r="Q97" i="33"/>
  <c r="P148" i="33"/>
  <c r="G151" i="32" s="1"/>
  <c r="U153" i="29" s="1"/>
  <c r="G153" i="29" s="1"/>
  <c r="D264" i="32"/>
  <c r="R266" i="29" s="1"/>
  <c r="D266" i="29" s="1"/>
  <c r="F264" i="32"/>
  <c r="T266" i="29" s="1"/>
  <c r="F266" i="29" s="1"/>
  <c r="E264" i="32"/>
  <c r="S266" i="29" s="1"/>
  <c r="E266" i="29" s="1"/>
  <c r="Q233" i="29"/>
  <c r="C233" i="29" s="1"/>
  <c r="AG173" i="32"/>
  <c r="G176" i="28"/>
  <c r="H176" i="28" s="1"/>
  <c r="P174" i="33"/>
  <c r="G176" i="32" s="1"/>
  <c r="U179" i="29" s="1"/>
  <c r="G179" i="29" s="1"/>
  <c r="AC189" i="32"/>
  <c r="AG200" i="32"/>
  <c r="G202" i="28"/>
  <c r="H202" i="28" s="1"/>
  <c r="AC150" i="32"/>
  <c r="AD240" i="32"/>
  <c r="L242" i="28" s="1"/>
  <c r="M242" i="28" s="1"/>
  <c r="E261" i="32"/>
  <c r="S263" i="29" s="1"/>
  <c r="E263" i="29" s="1"/>
  <c r="D261" i="32"/>
  <c r="R263" i="29" s="1"/>
  <c r="D263" i="29" s="1"/>
  <c r="F261" i="32"/>
  <c r="T263" i="29" s="1"/>
  <c r="F263" i="29" s="1"/>
  <c r="AG222" i="32"/>
  <c r="G224" i="28"/>
  <c r="H224" i="28" s="1"/>
  <c r="AC20" i="32"/>
  <c r="Q126" i="33"/>
  <c r="Q10" i="33"/>
  <c r="X73" i="29"/>
  <c r="W74" i="29"/>
  <c r="E113" i="32"/>
  <c r="S116" i="29" s="1"/>
  <c r="E116" i="29" s="1"/>
  <c r="D113" i="32"/>
  <c r="R116" i="29" s="1"/>
  <c r="D116" i="29" s="1"/>
  <c r="F113" i="32"/>
  <c r="T116" i="29" s="1"/>
  <c r="F116" i="29" s="1"/>
  <c r="G146" i="32"/>
  <c r="Q143" i="33"/>
  <c r="AD185" i="32"/>
  <c r="L188" i="28" s="1"/>
  <c r="M188" i="28" s="1"/>
  <c r="Q251" i="29"/>
  <c r="C251" i="29" s="1"/>
  <c r="P152" i="33"/>
  <c r="AC185" i="32"/>
  <c r="AC225" i="32"/>
  <c r="AC116" i="32"/>
  <c r="AC198" i="32"/>
  <c r="AG111" i="32"/>
  <c r="G114" i="28"/>
  <c r="H114" i="28" s="1"/>
  <c r="Q260" i="33"/>
  <c r="D194" i="32"/>
  <c r="R197" i="29" s="1"/>
  <c r="D197" i="29" s="1"/>
  <c r="F194" i="32"/>
  <c r="T197" i="29" s="1"/>
  <c r="F197" i="29" s="1"/>
  <c r="E194" i="32"/>
  <c r="S197" i="29" s="1"/>
  <c r="E197" i="29" s="1"/>
  <c r="AC39" i="32"/>
  <c r="X209" i="29"/>
  <c r="W208" i="29"/>
  <c r="AG278" i="32"/>
  <c r="G280" i="28"/>
  <c r="H280" i="28" s="1"/>
  <c r="AD294" i="32"/>
  <c r="L296" i="28" s="1"/>
  <c r="M296" i="28" s="1"/>
  <c r="AD273" i="32"/>
  <c r="L275" i="28" s="1"/>
  <c r="M275" i="28" s="1"/>
  <c r="P177" i="33"/>
  <c r="G179" i="32" s="1"/>
  <c r="U182" i="29" s="1"/>
  <c r="G182" i="29" s="1"/>
  <c r="W96" i="29"/>
  <c r="X95" i="29"/>
  <c r="F91" i="32"/>
  <c r="T94" i="29" s="1"/>
  <c r="F94" i="29" s="1"/>
  <c r="E91" i="32"/>
  <c r="S94" i="29" s="1"/>
  <c r="E94" i="29" s="1"/>
  <c r="D91" i="32"/>
  <c r="R94" i="29" s="1"/>
  <c r="D94" i="29" s="1"/>
  <c r="W53" i="29"/>
  <c r="X52" i="29"/>
  <c r="AC297" i="32"/>
  <c r="AG207" i="32"/>
  <c r="G210" i="28"/>
  <c r="H210" i="28" s="1"/>
  <c r="AC244" i="32"/>
  <c r="AC13" i="32"/>
  <c r="AD79" i="32"/>
  <c r="L82" i="28" s="1"/>
  <c r="M82" i="28" s="1"/>
  <c r="AG310" i="32"/>
  <c r="G312" i="28"/>
  <c r="H312" i="28" s="1"/>
  <c r="P91" i="33"/>
  <c r="G93" i="32" s="1"/>
  <c r="U96" i="29" s="1"/>
  <c r="G96" i="29" s="1"/>
  <c r="X132" i="29"/>
  <c r="W134" i="29"/>
  <c r="AD191" i="32"/>
  <c r="L194" i="28" s="1"/>
  <c r="M194" i="28" s="1"/>
  <c r="AG97" i="32"/>
  <c r="G100" i="28"/>
  <c r="H100" i="28" s="1"/>
  <c r="X214" i="29"/>
  <c r="W213" i="29"/>
  <c r="AC65" i="32"/>
  <c r="E231" i="32"/>
  <c r="S233" i="29" s="1"/>
  <c r="E233" i="29" s="1"/>
  <c r="D231" i="32"/>
  <c r="R233" i="29" s="1"/>
  <c r="D233" i="29" s="1"/>
  <c r="F231" i="32"/>
  <c r="T233" i="29" s="1"/>
  <c r="F233" i="29" s="1"/>
  <c r="AC242" i="32"/>
  <c r="P292" i="33"/>
  <c r="G295" i="32" s="1"/>
  <c r="U297" i="29" s="1"/>
  <c r="G297" i="29" s="1"/>
  <c r="Q214" i="33"/>
  <c r="AG126" i="32"/>
  <c r="G129" i="28"/>
  <c r="H129" i="28" s="1"/>
  <c r="AD150" i="32"/>
  <c r="L152" i="28" s="1"/>
  <c r="M152" i="28" s="1"/>
  <c r="W305" i="29"/>
  <c r="X304" i="29"/>
  <c r="AD20" i="32"/>
  <c r="L23" i="28" s="1"/>
  <c r="M23" i="28" s="1"/>
  <c r="AD157" i="32"/>
  <c r="L160" i="28" s="1"/>
  <c r="M160" i="28" s="1"/>
  <c r="Q36" i="33"/>
  <c r="AG217" i="32"/>
  <c r="G219" i="28"/>
  <c r="H219" i="28" s="1"/>
  <c r="W86" i="29"/>
  <c r="X85" i="29"/>
  <c r="W258" i="29"/>
  <c r="X258" i="29"/>
  <c r="E249" i="32"/>
  <c r="S251" i="29" s="1"/>
  <c r="E251" i="29" s="1"/>
  <c r="D249" i="32"/>
  <c r="R251" i="29" s="1"/>
  <c r="D251" i="29" s="1"/>
  <c r="F249" i="32"/>
  <c r="T251" i="29" s="1"/>
  <c r="F251" i="29" s="1"/>
  <c r="Q208" i="29"/>
  <c r="C208" i="29" s="1"/>
  <c r="AG171" i="32"/>
  <c r="G174" i="28"/>
  <c r="H174" i="28" s="1"/>
  <c r="AD225" i="32"/>
  <c r="L227" i="28" s="1"/>
  <c r="M227" i="28" s="1"/>
  <c r="AD116" i="32"/>
  <c r="L119" i="28" s="1"/>
  <c r="M119" i="28" s="1"/>
  <c r="AD198" i="32"/>
  <c r="L200" i="28" s="1"/>
  <c r="M200" i="28" s="1"/>
  <c r="AC38" i="32"/>
  <c r="X44" i="29"/>
  <c r="W45" i="29"/>
  <c r="G214" i="32"/>
  <c r="Q211" i="33"/>
  <c r="W236" i="29"/>
  <c r="X236" i="29"/>
  <c r="AC178" i="32"/>
  <c r="AD132" i="32"/>
  <c r="L135" i="28" s="1"/>
  <c r="M135" i="28" s="1"/>
  <c r="AD39" i="32"/>
  <c r="L42" i="28" s="1"/>
  <c r="M42" i="28" s="1"/>
  <c r="W129" i="29"/>
  <c r="X127" i="29"/>
  <c r="AC294" i="32"/>
  <c r="AC296" i="32"/>
  <c r="X218" i="29"/>
  <c r="W217" i="29"/>
  <c r="W296" i="29"/>
  <c r="X295" i="29"/>
  <c r="AD297" i="32"/>
  <c r="L299" i="28" s="1"/>
  <c r="M299" i="28" s="1"/>
  <c r="AD244" i="32"/>
  <c r="L246" i="28" s="1"/>
  <c r="M246" i="28" s="1"/>
  <c r="P24" i="33"/>
  <c r="G26" i="32" s="1"/>
  <c r="U29" i="29" s="1"/>
  <c r="G29" i="29" s="1"/>
  <c r="AD13" i="32"/>
  <c r="L15" i="28" s="1"/>
  <c r="M15" i="28" s="1"/>
  <c r="AG230" i="32"/>
  <c r="G232" i="28"/>
  <c r="H232" i="28" s="1"/>
  <c r="Q140" i="29"/>
  <c r="C140" i="29" s="1"/>
  <c r="AC191" i="32"/>
  <c r="AC289" i="32"/>
  <c r="AC172" i="32"/>
  <c r="P167" i="33"/>
  <c r="G169" i="32" s="1"/>
  <c r="U172" i="29" s="1"/>
  <c r="G172" i="29" s="1"/>
  <c r="Q153" i="29"/>
  <c r="C153" i="29" s="1"/>
  <c r="AD242" i="32"/>
  <c r="L244" i="28" s="1"/>
  <c r="M244" i="28" s="1"/>
  <c r="AC247" i="32"/>
  <c r="W175" i="29"/>
  <c r="X173" i="29"/>
  <c r="P268" i="33"/>
  <c r="G271" i="32" s="1"/>
  <c r="U273" i="29" s="1"/>
  <c r="G273" i="29" s="1"/>
  <c r="AC157" i="32"/>
  <c r="W307" i="29"/>
  <c r="X306" i="29"/>
  <c r="Q81" i="33"/>
  <c r="X113" i="29" l="1"/>
  <c r="AG277" i="32"/>
  <c r="G279" i="28"/>
  <c r="H279" i="28" s="1"/>
  <c r="G264" i="28"/>
  <c r="H264" i="28" s="1"/>
  <c r="AG17" i="32"/>
  <c r="Q304" i="33"/>
  <c r="W67" i="29"/>
  <c r="G267" i="28"/>
  <c r="H267" i="28" s="1"/>
  <c r="X259" i="29"/>
  <c r="G54" i="28"/>
  <c r="H54" i="28" s="1"/>
  <c r="G252" i="28"/>
  <c r="H252" i="28" s="1"/>
  <c r="W252" i="29" s="1"/>
  <c r="Q258" i="33"/>
  <c r="G235" i="28"/>
  <c r="H235" i="28" s="1"/>
  <c r="W235" i="29" s="1"/>
  <c r="AC33" i="32"/>
  <c r="AG33" i="32" s="1"/>
  <c r="Q246" i="33"/>
  <c r="X57" i="29"/>
  <c r="AD33" i="32"/>
  <c r="L36" i="28" s="1"/>
  <c r="M36" i="28" s="1"/>
  <c r="U307" i="29"/>
  <c r="AC304" i="32"/>
  <c r="AD304" i="32"/>
  <c r="L307" i="28" s="1"/>
  <c r="M307" i="28" s="1"/>
  <c r="U139" i="29"/>
  <c r="G139" i="29" s="1"/>
  <c r="AD136" i="32"/>
  <c r="L139" i="28" s="1"/>
  <c r="M139" i="28" s="1"/>
  <c r="AC136" i="32"/>
  <c r="G139" i="28" s="1"/>
  <c r="H139" i="28" s="1"/>
  <c r="Q111" i="33"/>
  <c r="Q34" i="33"/>
  <c r="AG291" i="32"/>
  <c r="G293" i="28"/>
  <c r="H293" i="28" s="1"/>
  <c r="AD90" i="32"/>
  <c r="L93" i="28" s="1"/>
  <c r="M93" i="28" s="1"/>
  <c r="Q134" i="33"/>
  <c r="X217" i="29"/>
  <c r="U84" i="29"/>
  <c r="G84" i="29" s="1"/>
  <c r="AC81" i="32"/>
  <c r="AD81" i="32"/>
  <c r="L84" i="28" s="1"/>
  <c r="M84" i="28" s="1"/>
  <c r="AC75" i="32"/>
  <c r="G78" i="28" s="1"/>
  <c r="H78" i="28" s="1"/>
  <c r="G228" i="28"/>
  <c r="H228" i="28" s="1"/>
  <c r="X228" i="29" s="1"/>
  <c r="AD75" i="32"/>
  <c r="L78" i="28" s="1"/>
  <c r="M78" i="28" s="1"/>
  <c r="AG101" i="32"/>
  <c r="Q160" i="33"/>
  <c r="G169" i="28"/>
  <c r="H169" i="28" s="1"/>
  <c r="Q35" i="33"/>
  <c r="AD37" i="32"/>
  <c r="L40" i="28" s="1"/>
  <c r="M40" i="28" s="1"/>
  <c r="Q215" i="33"/>
  <c r="AC37" i="32"/>
  <c r="Q146" i="33"/>
  <c r="G82" i="28"/>
  <c r="H82" i="28" s="1"/>
  <c r="W83" i="29" s="1"/>
  <c r="W66" i="29"/>
  <c r="Q162" i="33"/>
  <c r="Q77" i="33"/>
  <c r="Q148" i="33"/>
  <c r="G112" i="28"/>
  <c r="H112" i="28" s="1"/>
  <c r="X112" i="29" s="1"/>
  <c r="G50" i="32"/>
  <c r="U53" i="29" s="1"/>
  <c r="G53" i="29" s="1"/>
  <c r="AG248" i="32"/>
  <c r="G250" i="28"/>
  <c r="H250" i="28" s="1"/>
  <c r="Q31" i="33"/>
  <c r="G204" i="28"/>
  <c r="H204" i="28" s="1"/>
  <c r="U17" i="29"/>
  <c r="G17" i="29" s="1"/>
  <c r="AD15" i="32"/>
  <c r="L17" i="28" s="1"/>
  <c r="M17" i="28" s="1"/>
  <c r="AC15" i="32"/>
  <c r="Q73" i="33"/>
  <c r="AC205" i="32"/>
  <c r="AG205" i="32" s="1"/>
  <c r="G213" i="28"/>
  <c r="H213" i="28" s="1"/>
  <c r="X213" i="29" s="1"/>
  <c r="AD205" i="32"/>
  <c r="L208" i="28" s="1"/>
  <c r="M208" i="28" s="1"/>
  <c r="G19" i="28"/>
  <c r="H19" i="28" s="1"/>
  <c r="U151" i="29"/>
  <c r="G151" i="29" s="1"/>
  <c r="AC149" i="32"/>
  <c r="AG149" i="32" s="1"/>
  <c r="AD149" i="32"/>
  <c r="L151" i="28" s="1"/>
  <c r="M151" i="28" s="1"/>
  <c r="AG252" i="32"/>
  <c r="G254" i="28"/>
  <c r="H254" i="28" s="1"/>
  <c r="AG255" i="32"/>
  <c r="G257" i="28"/>
  <c r="H257" i="28" s="1"/>
  <c r="AC138" i="32"/>
  <c r="AG138" i="32" s="1"/>
  <c r="Q115" i="33"/>
  <c r="AD195" i="32"/>
  <c r="L158" i="28" s="1"/>
  <c r="M158" i="28" s="1"/>
  <c r="G183" i="32"/>
  <c r="U186" i="29" s="1"/>
  <c r="G186" i="29" s="1"/>
  <c r="Q181" i="33"/>
  <c r="AD138" i="32"/>
  <c r="L140" i="28" s="1"/>
  <c r="M140" i="28" s="1"/>
  <c r="AC195" i="32"/>
  <c r="AG195" i="32" s="1"/>
  <c r="Q186" i="29"/>
  <c r="C186" i="29" s="1"/>
  <c r="Q177" i="33"/>
  <c r="U55" i="29"/>
  <c r="G55" i="29" s="1"/>
  <c r="AC52" i="32"/>
  <c r="AD52" i="32"/>
  <c r="L55" i="28" s="1"/>
  <c r="M55" i="28" s="1"/>
  <c r="Q27" i="33"/>
  <c r="AC165" i="32"/>
  <c r="AG165" i="32" s="1"/>
  <c r="Q191" i="33"/>
  <c r="Q136" i="33"/>
  <c r="U212" i="29"/>
  <c r="AC210" i="32"/>
  <c r="AD210" i="32"/>
  <c r="L212" i="28" s="1"/>
  <c r="M212" i="28" s="1"/>
  <c r="Q141" i="29"/>
  <c r="C141" i="29" s="1"/>
  <c r="AC139" i="32"/>
  <c r="AD139" i="32"/>
  <c r="L141" i="28" s="1"/>
  <c r="M141" i="28" s="1"/>
  <c r="Q140" i="33"/>
  <c r="AG73" i="32"/>
  <c r="G76" i="28"/>
  <c r="H76" i="28" s="1"/>
  <c r="W77" i="29" s="1"/>
  <c r="AD123" i="32"/>
  <c r="L126" i="28" s="1"/>
  <c r="M126" i="28" s="1"/>
  <c r="C76" i="29"/>
  <c r="AC36" i="32"/>
  <c r="G39" i="28" s="1"/>
  <c r="H39" i="28" s="1"/>
  <c r="Q120" i="29"/>
  <c r="C120" i="29" s="1"/>
  <c r="AD117" i="32"/>
  <c r="L120" i="28" s="1"/>
  <c r="M120" i="28" s="1"/>
  <c r="AC117" i="32"/>
  <c r="AG30" i="32"/>
  <c r="G33" i="28"/>
  <c r="H33" i="28" s="1"/>
  <c r="Q163" i="33"/>
  <c r="Q292" i="33"/>
  <c r="AD36" i="32"/>
  <c r="L39" i="28" s="1"/>
  <c r="M39" i="28" s="1"/>
  <c r="Q22" i="33"/>
  <c r="AG47" i="32"/>
  <c r="G50" i="28"/>
  <c r="H50" i="28" s="1"/>
  <c r="Q123" i="33"/>
  <c r="Q27" i="29"/>
  <c r="C27" i="29" s="1"/>
  <c r="AD24" i="32"/>
  <c r="L27" i="28" s="1"/>
  <c r="M27" i="28" s="1"/>
  <c r="AC24" i="32"/>
  <c r="AD58" i="32"/>
  <c r="L61" i="28" s="1"/>
  <c r="M61" i="28" s="1"/>
  <c r="Q128" i="29"/>
  <c r="C128" i="29" s="1"/>
  <c r="AC125" i="32"/>
  <c r="AD125" i="32"/>
  <c r="L128" i="28" s="1"/>
  <c r="M128" i="28" s="1"/>
  <c r="AG133" i="32"/>
  <c r="G136" i="28"/>
  <c r="H136" i="28" s="1"/>
  <c r="Q326" i="28"/>
  <c r="Q331" i="28" s="1"/>
  <c r="G183" i="28"/>
  <c r="H183" i="28" s="1"/>
  <c r="AG180" i="32"/>
  <c r="AC123" i="32"/>
  <c r="AG123" i="32" s="1"/>
  <c r="AG167" i="32"/>
  <c r="G170" i="28"/>
  <c r="H170" i="28" s="1"/>
  <c r="AD260" i="32"/>
  <c r="L262" i="28" s="1"/>
  <c r="M262" i="28" s="1"/>
  <c r="Q192" i="33"/>
  <c r="C39" i="29"/>
  <c r="AC249" i="32"/>
  <c r="AG249" i="32" s="1"/>
  <c r="Q216" i="33"/>
  <c r="G98" i="32"/>
  <c r="AC98" i="32" s="1"/>
  <c r="Q96" i="33"/>
  <c r="AG131" i="32"/>
  <c r="G134" i="28"/>
  <c r="H134" i="28" s="1"/>
  <c r="W136" i="29" s="1"/>
  <c r="AC223" i="32"/>
  <c r="Q145" i="29"/>
  <c r="AC143" i="32"/>
  <c r="AD143" i="32"/>
  <c r="L145" i="28" s="1"/>
  <c r="M145" i="28" s="1"/>
  <c r="AD249" i="32"/>
  <c r="L251" i="28" s="1"/>
  <c r="M251" i="28" s="1"/>
  <c r="AD223" i="32"/>
  <c r="L225" i="28" s="1"/>
  <c r="M225" i="28" s="1"/>
  <c r="AG174" i="32"/>
  <c r="G177" i="28"/>
  <c r="H177" i="28" s="1"/>
  <c r="C134" i="29"/>
  <c r="C261" i="29"/>
  <c r="AG58" i="32"/>
  <c r="G61" i="28"/>
  <c r="H61" i="28" s="1"/>
  <c r="AG144" i="32"/>
  <c r="G146" i="28"/>
  <c r="H146" i="28" s="1"/>
  <c r="W147" i="29" s="1"/>
  <c r="U195" i="29"/>
  <c r="G195" i="29" s="1"/>
  <c r="AC192" i="32"/>
  <c r="AD192" i="32"/>
  <c r="L195" i="28" s="1"/>
  <c r="M195" i="28" s="1"/>
  <c r="AC260" i="32"/>
  <c r="AG260" i="32" s="1"/>
  <c r="AD165" i="32"/>
  <c r="L168" i="28" s="1"/>
  <c r="M168" i="28" s="1"/>
  <c r="AG259" i="32"/>
  <c r="G261" i="28"/>
  <c r="H261" i="28" s="1"/>
  <c r="W261" i="29" s="1"/>
  <c r="X77" i="29"/>
  <c r="X46" i="29"/>
  <c r="W47" i="29"/>
  <c r="C146" i="29"/>
  <c r="AG119" i="32"/>
  <c r="G122" i="28"/>
  <c r="H122" i="28" s="1"/>
  <c r="G283" i="28"/>
  <c r="H283" i="28" s="1"/>
  <c r="AG281" i="32"/>
  <c r="AG299" i="32"/>
  <c r="G301" i="28"/>
  <c r="H301" i="28" s="1"/>
  <c r="AG275" i="32"/>
  <c r="G277" i="28"/>
  <c r="H277" i="28" s="1"/>
  <c r="AG12" i="32"/>
  <c r="G14" i="28"/>
  <c r="H14" i="28" s="1"/>
  <c r="G151" i="28"/>
  <c r="H151" i="28" s="1"/>
  <c r="AG209" i="32"/>
  <c r="G211" i="28"/>
  <c r="H211" i="28" s="1"/>
  <c r="D97" i="29"/>
  <c r="X97" i="29"/>
  <c r="AD86" i="32"/>
  <c r="L89" i="28" s="1"/>
  <c r="M89" i="28" s="1"/>
  <c r="U89" i="29"/>
  <c r="AC86" i="32"/>
  <c r="AD290" i="32"/>
  <c r="L292" i="28" s="1"/>
  <c r="M292" i="28" s="1"/>
  <c r="U268" i="29"/>
  <c r="G268" i="29" s="1"/>
  <c r="AC266" i="32"/>
  <c r="AD266" i="32"/>
  <c r="L268" i="28" s="1"/>
  <c r="M268" i="28" s="1"/>
  <c r="C234" i="29"/>
  <c r="AD87" i="32"/>
  <c r="L90" i="28" s="1"/>
  <c r="M90" i="28" s="1"/>
  <c r="G189" i="28"/>
  <c r="H189" i="28" s="1"/>
  <c r="AG186" i="32"/>
  <c r="AG108" i="32"/>
  <c r="G110" i="28"/>
  <c r="H110" i="28" s="1"/>
  <c r="AG48" i="32"/>
  <c r="G51" i="28"/>
  <c r="H51" i="28" s="1"/>
  <c r="AG106" i="32"/>
  <c r="G109" i="28"/>
  <c r="H109" i="28" s="1"/>
  <c r="W110" i="29" s="1"/>
  <c r="AC87" i="32"/>
  <c r="AG232" i="32"/>
  <c r="G234" i="28"/>
  <c r="H234" i="28" s="1"/>
  <c r="W234" i="29" s="1"/>
  <c r="AD218" i="32"/>
  <c r="L220" i="28" s="1"/>
  <c r="M220" i="28" s="1"/>
  <c r="Q225" i="33"/>
  <c r="W98" i="29"/>
  <c r="AG25" i="32"/>
  <c r="G28" i="28"/>
  <c r="H28" i="28" s="1"/>
  <c r="W29" i="29" s="1"/>
  <c r="AC218" i="32"/>
  <c r="AD78" i="32"/>
  <c r="L81" i="28" s="1"/>
  <c r="M81" i="28" s="1"/>
  <c r="C101" i="29"/>
  <c r="C28" i="29"/>
  <c r="Q85" i="33"/>
  <c r="X219" i="29"/>
  <c r="W219" i="29"/>
  <c r="W218" i="29"/>
  <c r="X20" i="29"/>
  <c r="W21" i="29"/>
  <c r="X202" i="29"/>
  <c r="W202" i="29"/>
  <c r="AG141" i="32"/>
  <c r="G143" i="28"/>
  <c r="H143" i="28" s="1"/>
  <c r="X48" i="29"/>
  <c r="W49" i="29"/>
  <c r="AD283" i="32"/>
  <c r="L285" i="28" s="1"/>
  <c r="M285" i="28" s="1"/>
  <c r="AC113" i="32"/>
  <c r="AD162" i="32"/>
  <c r="L165" i="28" s="1"/>
  <c r="M165" i="28" s="1"/>
  <c r="AC28" i="32"/>
  <c r="AG253" i="32"/>
  <c r="G255" i="28"/>
  <c r="H255" i="28" s="1"/>
  <c r="X74" i="29"/>
  <c r="W75" i="29"/>
  <c r="AC201" i="32"/>
  <c r="AD181" i="32"/>
  <c r="L184" i="28" s="1"/>
  <c r="M184" i="28" s="1"/>
  <c r="W151" i="29"/>
  <c r="X150" i="29"/>
  <c r="AG150" i="32"/>
  <c r="G152" i="28"/>
  <c r="H152" i="28" s="1"/>
  <c r="AG296" i="32"/>
  <c r="G298" i="28"/>
  <c r="H298" i="28" s="1"/>
  <c r="X313" i="29"/>
  <c r="W314" i="29"/>
  <c r="Q91" i="33"/>
  <c r="X239" i="29"/>
  <c r="W239" i="29"/>
  <c r="W291" i="29"/>
  <c r="X290" i="29"/>
  <c r="AD113" i="32"/>
  <c r="L116" i="28" s="1"/>
  <c r="M116" i="28" s="1"/>
  <c r="AD28" i="32"/>
  <c r="L31" i="28" s="1"/>
  <c r="M31" i="28" s="1"/>
  <c r="AG142" i="32"/>
  <c r="G144" i="28"/>
  <c r="H144" i="28" s="1"/>
  <c r="W112" i="29"/>
  <c r="W111" i="29"/>
  <c r="X111" i="29"/>
  <c r="AG40" i="32"/>
  <c r="G43" i="28"/>
  <c r="H43" i="28" s="1"/>
  <c r="AG177" i="32"/>
  <c r="G180" i="28"/>
  <c r="H180" i="28" s="1"/>
  <c r="AG128" i="32"/>
  <c r="G131" i="28"/>
  <c r="H131" i="28" s="1"/>
  <c r="AD201" i="32"/>
  <c r="L203" i="28" s="1"/>
  <c r="M203" i="28" s="1"/>
  <c r="AC181" i="32"/>
  <c r="AG191" i="32"/>
  <c r="G194" i="28"/>
  <c r="H194" i="28" s="1"/>
  <c r="X194" i="29" s="1"/>
  <c r="X174" i="29"/>
  <c r="W176" i="29"/>
  <c r="AG247" i="32"/>
  <c r="G249" i="28"/>
  <c r="H249" i="28" s="1"/>
  <c r="AG13" i="32"/>
  <c r="G15" i="28"/>
  <c r="H15" i="28" s="1"/>
  <c r="AC261" i="32"/>
  <c r="W232" i="29"/>
  <c r="X232" i="29"/>
  <c r="AG240" i="32"/>
  <c r="G242" i="28"/>
  <c r="H242" i="28" s="1"/>
  <c r="AG114" i="32"/>
  <c r="G117" i="28"/>
  <c r="H117" i="28" s="1"/>
  <c r="AG140" i="32"/>
  <c r="G142" i="28"/>
  <c r="H142" i="28" s="1"/>
  <c r="AG112" i="32"/>
  <c r="G115" i="28"/>
  <c r="H115" i="28" s="1"/>
  <c r="AC93" i="32"/>
  <c r="AC290" i="32"/>
  <c r="AG161" i="32"/>
  <c r="G164" i="28"/>
  <c r="H164" i="28" s="1"/>
  <c r="AG287" i="32"/>
  <c r="G289" i="28"/>
  <c r="H289" i="28" s="1"/>
  <c r="W132" i="29"/>
  <c r="X130" i="29"/>
  <c r="AG69" i="32"/>
  <c r="G72" i="28"/>
  <c r="H72" i="28" s="1"/>
  <c r="AG104" i="32"/>
  <c r="G107" i="28"/>
  <c r="H107" i="28" s="1"/>
  <c r="AG22" i="32"/>
  <c r="G25" i="28"/>
  <c r="H25" i="28" s="1"/>
  <c r="AG168" i="32"/>
  <c r="G171" i="28"/>
  <c r="H171" i="28" s="1"/>
  <c r="AG307" i="32"/>
  <c r="G310" i="28"/>
  <c r="H310" i="28" s="1"/>
  <c r="AD163" i="32"/>
  <c r="L166" i="28" s="1"/>
  <c r="M166" i="28" s="1"/>
  <c r="X100" i="29"/>
  <c r="W101" i="29"/>
  <c r="AC91" i="32"/>
  <c r="AG300" i="32"/>
  <c r="G302" i="28"/>
  <c r="H302" i="28" s="1"/>
  <c r="U216" i="29"/>
  <c r="G216" i="29" s="1"/>
  <c r="AD214" i="32"/>
  <c r="L216" i="28" s="1"/>
  <c r="M216" i="28" s="1"/>
  <c r="AC214" i="32"/>
  <c r="AD91" i="32"/>
  <c r="L94" i="28" s="1"/>
  <c r="M94" i="28" s="1"/>
  <c r="AD261" i="32"/>
  <c r="L263" i="28" s="1"/>
  <c r="M263" i="28" s="1"/>
  <c r="W304" i="29"/>
  <c r="X303" i="29"/>
  <c r="AG294" i="32"/>
  <c r="G296" i="28"/>
  <c r="H296" i="28" s="1"/>
  <c r="AG242" i="32"/>
  <c r="G244" i="28"/>
  <c r="H244" i="28" s="1"/>
  <c r="X47" i="29"/>
  <c r="W48" i="29"/>
  <c r="AC306" i="32"/>
  <c r="AD151" i="32"/>
  <c r="L153" i="28" s="1"/>
  <c r="M153" i="28" s="1"/>
  <c r="AC99" i="32"/>
  <c r="W209" i="29"/>
  <c r="X210" i="29"/>
  <c r="AG198" i="32"/>
  <c r="G200" i="28"/>
  <c r="H200" i="28" s="1"/>
  <c r="U148" i="29"/>
  <c r="G148" i="29" s="1"/>
  <c r="AD146" i="32"/>
  <c r="L148" i="28" s="1"/>
  <c r="M148" i="28" s="1"/>
  <c r="AC146" i="32"/>
  <c r="AG20" i="32"/>
  <c r="G23" i="28"/>
  <c r="H23" i="28" s="1"/>
  <c r="Q167" i="33"/>
  <c r="AG273" i="32"/>
  <c r="G275" i="28"/>
  <c r="H275" i="28" s="1"/>
  <c r="W180" i="29"/>
  <c r="X178" i="29"/>
  <c r="AD306" i="32"/>
  <c r="L309" i="28" s="1"/>
  <c r="M309" i="28" s="1"/>
  <c r="AG53" i="32"/>
  <c r="G56" i="28"/>
  <c r="H56" i="28" s="1"/>
  <c r="W92" i="29"/>
  <c r="X91" i="29"/>
  <c r="G188" i="32"/>
  <c r="U191" i="29" s="1"/>
  <c r="G191" i="29" s="1"/>
  <c r="Q186" i="33"/>
  <c r="Q269" i="33"/>
  <c r="AG37" i="32"/>
  <c r="G40" i="28"/>
  <c r="H40" i="28" s="1"/>
  <c r="W267" i="29"/>
  <c r="X267" i="29"/>
  <c r="AG280" i="32"/>
  <c r="G282" i="28"/>
  <c r="H282" i="28" s="1"/>
  <c r="AD93" i="32"/>
  <c r="L96" i="28" s="1"/>
  <c r="M96" i="28" s="1"/>
  <c r="W64" i="29"/>
  <c r="X63" i="29"/>
  <c r="AG66" i="32"/>
  <c r="G69" i="28"/>
  <c r="H69" i="28" s="1"/>
  <c r="AG263" i="32"/>
  <c r="G265" i="28"/>
  <c r="H265" i="28" s="1"/>
  <c r="AG154" i="32"/>
  <c r="G156" i="28"/>
  <c r="H156" i="28" s="1"/>
  <c r="AG284" i="32"/>
  <c r="G286" i="28"/>
  <c r="H286" i="28" s="1"/>
  <c r="X205" i="29"/>
  <c r="W205" i="29"/>
  <c r="AG303" i="32"/>
  <c r="G305" i="28"/>
  <c r="H305" i="28" s="1"/>
  <c r="AG243" i="32"/>
  <c r="G245" i="28"/>
  <c r="H245" i="28" s="1"/>
  <c r="X13" i="29"/>
  <c r="W13" i="29"/>
  <c r="AG21" i="32"/>
  <c r="G24" i="28"/>
  <c r="H24" i="28" s="1"/>
  <c r="AG254" i="32"/>
  <c r="G256" i="28"/>
  <c r="H256" i="28" s="1"/>
  <c r="AG159" i="32"/>
  <c r="G162" i="28"/>
  <c r="H162" i="28" s="1"/>
  <c r="AC76" i="32"/>
  <c r="AC163" i="32"/>
  <c r="AG229" i="32"/>
  <c r="G231" i="28"/>
  <c r="H231" i="28" s="1"/>
  <c r="AG178" i="32"/>
  <c r="G181" i="28"/>
  <c r="H181" i="28" s="1"/>
  <c r="Q174" i="33"/>
  <c r="W187" i="29"/>
  <c r="X185" i="29"/>
  <c r="W116" i="29"/>
  <c r="X114" i="29"/>
  <c r="AG244" i="32"/>
  <c r="G246" i="28"/>
  <c r="H246" i="28" s="1"/>
  <c r="AC151" i="32"/>
  <c r="AG38" i="32"/>
  <c r="G41" i="28"/>
  <c r="H41" i="28" s="1"/>
  <c r="W281" i="29"/>
  <c r="X280" i="29"/>
  <c r="AG116" i="32"/>
  <c r="G119" i="28"/>
  <c r="H119" i="28" s="1"/>
  <c r="X224" i="29"/>
  <c r="W224" i="29"/>
  <c r="AG189" i="32"/>
  <c r="G192" i="28"/>
  <c r="H192" i="28" s="1"/>
  <c r="Q280" i="33"/>
  <c r="AG221" i="32"/>
  <c r="G223" i="28"/>
  <c r="H223" i="28" s="1"/>
  <c r="W312" i="29"/>
  <c r="X311" i="29"/>
  <c r="W156" i="29"/>
  <c r="X155" i="29"/>
  <c r="X240" i="29"/>
  <c r="W240" i="29"/>
  <c r="AG236" i="32"/>
  <c r="G238" i="28"/>
  <c r="H238" i="28" s="1"/>
  <c r="Q74" i="33"/>
  <c r="X12" i="29"/>
  <c r="W12" i="29"/>
  <c r="AC78" i="32"/>
  <c r="AG103" i="32"/>
  <c r="G106" i="28"/>
  <c r="H106" i="28" s="1"/>
  <c r="Q257" i="33"/>
  <c r="AD50" i="32"/>
  <c r="L53" i="28" s="1"/>
  <c r="M53" i="28" s="1"/>
  <c r="AG57" i="32"/>
  <c r="G60" i="28"/>
  <c r="H60" i="28" s="1"/>
  <c r="AG224" i="32"/>
  <c r="G226" i="28"/>
  <c r="H226" i="28" s="1"/>
  <c r="Q203" i="33"/>
  <c r="AD76" i="32"/>
  <c r="L79" i="28" s="1"/>
  <c r="M79" i="28" s="1"/>
  <c r="AG95" i="32"/>
  <c r="G98" i="28"/>
  <c r="H98" i="28" s="1"/>
  <c r="AD179" i="32"/>
  <c r="L182" i="28" s="1"/>
  <c r="M182" i="28" s="1"/>
  <c r="AG297" i="32"/>
  <c r="G299" i="28"/>
  <c r="H299" i="28" s="1"/>
  <c r="W105" i="29"/>
  <c r="X104" i="29"/>
  <c r="AG118" i="32"/>
  <c r="G121" i="28"/>
  <c r="H121" i="28" s="1"/>
  <c r="AG130" i="32"/>
  <c r="G133" i="28"/>
  <c r="H133" i="28" s="1"/>
  <c r="AC120" i="32"/>
  <c r="AG35" i="32"/>
  <c r="G38" i="28"/>
  <c r="H38" i="28" s="1"/>
  <c r="AG160" i="32"/>
  <c r="G163" i="28"/>
  <c r="H163" i="28" s="1"/>
  <c r="W198" i="29"/>
  <c r="X198" i="29"/>
  <c r="X167" i="29"/>
  <c r="W168" i="29"/>
  <c r="AG31" i="32"/>
  <c r="G34" i="28"/>
  <c r="H34" i="28" s="1"/>
  <c r="AC50" i="32"/>
  <c r="AG204" i="32"/>
  <c r="G206" i="28"/>
  <c r="H206" i="28" s="1"/>
  <c r="X204" i="29"/>
  <c r="W204" i="29"/>
  <c r="AD99" i="32"/>
  <c r="L102" i="28" s="1"/>
  <c r="M102" i="28" s="1"/>
  <c r="AC179" i="32"/>
  <c r="Q198" i="33"/>
  <c r="AG172" i="32"/>
  <c r="G175" i="28"/>
  <c r="H175" i="28" s="1"/>
  <c r="W313" i="29"/>
  <c r="X312" i="29"/>
  <c r="Q118" i="33"/>
  <c r="W178" i="29"/>
  <c r="X176" i="29"/>
  <c r="X118" i="29"/>
  <c r="W120" i="29"/>
  <c r="W277" i="29"/>
  <c r="X276" i="29"/>
  <c r="W192" i="29"/>
  <c r="X190" i="29"/>
  <c r="AD120" i="32"/>
  <c r="L123" i="28" s="1"/>
  <c r="M123" i="28" s="1"/>
  <c r="AG190" i="32"/>
  <c r="G193" i="28"/>
  <c r="H193" i="28" s="1"/>
  <c r="W289" i="29"/>
  <c r="X288" i="29"/>
  <c r="X18" i="29"/>
  <c r="W19" i="29"/>
  <c r="X37" i="29"/>
  <c r="W38" i="29"/>
  <c r="AG292" i="32"/>
  <c r="G294" i="28"/>
  <c r="H294" i="28" s="1"/>
  <c r="W93" i="29"/>
  <c r="X92" i="29"/>
  <c r="W137" i="29"/>
  <c r="X135" i="29"/>
  <c r="Q268" i="33"/>
  <c r="AG157" i="32"/>
  <c r="G160" i="28"/>
  <c r="H160" i="28" s="1"/>
  <c r="W171" i="29"/>
  <c r="X169" i="29"/>
  <c r="AG289" i="32"/>
  <c r="G291" i="28"/>
  <c r="H291" i="28" s="1"/>
  <c r="AG225" i="32"/>
  <c r="G227" i="28"/>
  <c r="H227" i="28" s="1"/>
  <c r="X264" i="29"/>
  <c r="W264" i="29"/>
  <c r="X30" i="29"/>
  <c r="W31" i="29"/>
  <c r="AG90" i="32"/>
  <c r="G93" i="28"/>
  <c r="H93" i="28" s="1"/>
  <c r="W247" i="29"/>
  <c r="X247" i="29"/>
  <c r="AG147" i="32"/>
  <c r="G149" i="28"/>
  <c r="H149" i="28" s="1"/>
  <c r="AC176" i="32"/>
  <c r="AC228" i="32"/>
  <c r="AG220" i="32"/>
  <c r="G222" i="28"/>
  <c r="H222" i="28" s="1"/>
  <c r="AG213" i="32"/>
  <c r="G215" i="28"/>
  <c r="H215" i="28" s="1"/>
  <c r="AC271" i="32"/>
  <c r="AC219" i="32"/>
  <c r="X71" i="29"/>
  <c r="W72" i="29"/>
  <c r="G231" i="32"/>
  <c r="U233" i="29" s="1"/>
  <c r="G233" i="29" s="1"/>
  <c r="Q228" i="33"/>
  <c r="AG208" i="32"/>
  <c r="G207" i="28"/>
  <c r="H207" i="28" s="1"/>
  <c r="Q89" i="33"/>
  <c r="AG39" i="32"/>
  <c r="G42" i="28"/>
  <c r="H42" i="28" s="1"/>
  <c r="AG185" i="32"/>
  <c r="G188" i="28"/>
  <c r="H188" i="28" s="1"/>
  <c r="X187" i="29"/>
  <c r="W189" i="29"/>
  <c r="AG56" i="32"/>
  <c r="G59" i="28"/>
  <c r="H59" i="28" s="1"/>
  <c r="W20" i="29"/>
  <c r="X19" i="29"/>
  <c r="P321" i="33"/>
  <c r="G8" i="32"/>
  <c r="AC8" i="32" s="1"/>
  <c r="AD176" i="32"/>
  <c r="L179" i="28" s="1"/>
  <c r="M179" i="28" s="1"/>
  <c r="AC169" i="32"/>
  <c r="X108" i="29"/>
  <c r="W109" i="29"/>
  <c r="AG77" i="32"/>
  <c r="G80" i="28"/>
  <c r="H80" i="28" s="1"/>
  <c r="AD228" i="32"/>
  <c r="L230" i="28" s="1"/>
  <c r="M230" i="28" s="1"/>
  <c r="AG19" i="32"/>
  <c r="G22" i="28"/>
  <c r="H22" i="28" s="1"/>
  <c r="D324" i="32"/>
  <c r="R10" i="29"/>
  <c r="AG251" i="32"/>
  <c r="G253" i="28"/>
  <c r="H253" i="28" s="1"/>
  <c r="W76" i="29"/>
  <c r="X75" i="29"/>
  <c r="X105" i="29"/>
  <c r="W106" i="29"/>
  <c r="AD271" i="32"/>
  <c r="L273" i="28" s="1"/>
  <c r="M273" i="28" s="1"/>
  <c r="AD219" i="32"/>
  <c r="L221" i="28" s="1"/>
  <c r="M221" i="28" s="1"/>
  <c r="X229" i="29"/>
  <c r="W229" i="29"/>
  <c r="AC29" i="32"/>
  <c r="AG305" i="32"/>
  <c r="G308" i="28"/>
  <c r="H308" i="28" s="1"/>
  <c r="AC193" i="32"/>
  <c r="X11" i="29"/>
  <c r="W11" i="29"/>
  <c r="Q24" i="33"/>
  <c r="G155" i="32"/>
  <c r="U157" i="29" s="1"/>
  <c r="G157" i="29" s="1"/>
  <c r="Q152" i="33"/>
  <c r="C324" i="32"/>
  <c r="Q10" i="29"/>
  <c r="W243" i="29"/>
  <c r="X243" i="29"/>
  <c r="G264" i="32"/>
  <c r="U266" i="29" s="1"/>
  <c r="G266" i="29" s="1"/>
  <c r="Q261" i="33"/>
  <c r="AG239" i="32"/>
  <c r="G241" i="28"/>
  <c r="H241" i="28" s="1"/>
  <c r="AD169" i="32"/>
  <c r="L172" i="28" s="1"/>
  <c r="M172" i="28" s="1"/>
  <c r="AG42" i="32"/>
  <c r="G45" i="28"/>
  <c r="H45" i="28" s="1"/>
  <c r="AG145" i="32"/>
  <c r="G147" i="28"/>
  <c r="H147" i="28" s="1"/>
  <c r="Q135" i="33"/>
  <c r="AC272" i="32"/>
  <c r="E324" i="32"/>
  <c r="S10" i="29"/>
  <c r="AD29" i="32"/>
  <c r="L32" i="28" s="1"/>
  <c r="M32" i="28" s="1"/>
  <c r="W22" i="29"/>
  <c r="X21" i="29"/>
  <c r="AD193" i="32"/>
  <c r="L196" i="28" s="1"/>
  <c r="M196" i="28" s="1"/>
  <c r="Q5" i="33"/>
  <c r="W279" i="29"/>
  <c r="X278" i="29"/>
  <c r="X201" i="29"/>
  <c r="W201" i="29"/>
  <c r="AC295" i="32"/>
  <c r="AG268" i="32"/>
  <c r="G270" i="28"/>
  <c r="H270" i="28" s="1"/>
  <c r="AG235" i="32"/>
  <c r="G237" i="28"/>
  <c r="H237" i="28" s="1"/>
  <c r="X269" i="29"/>
  <c r="W269" i="29"/>
  <c r="AD272" i="32"/>
  <c r="L274" i="28" s="1"/>
  <c r="M274" i="28" s="1"/>
  <c r="U35" i="29"/>
  <c r="G35" i="29" s="1"/>
  <c r="AC32" i="32"/>
  <c r="F324" i="32"/>
  <c r="T10" i="29"/>
  <c r="X54" i="29"/>
  <c r="W55" i="29"/>
  <c r="AG121" i="32"/>
  <c r="G124" i="28"/>
  <c r="H124" i="28" s="1"/>
  <c r="AC26" i="32"/>
  <c r="AG83" i="32"/>
  <c r="G86" i="28"/>
  <c r="H86" i="28" s="1"/>
  <c r="AC194" i="32"/>
  <c r="AG65" i="32"/>
  <c r="G68" i="28"/>
  <c r="H68" i="28" s="1"/>
  <c r="X129" i="29"/>
  <c r="W131" i="29"/>
  <c r="W88" i="29"/>
  <c r="X87" i="29"/>
  <c r="W161" i="29"/>
  <c r="X159" i="29"/>
  <c r="AD295" i="32"/>
  <c r="L297" i="28" s="1"/>
  <c r="M297" i="28" s="1"/>
  <c r="X287" i="29"/>
  <c r="W288" i="29"/>
  <c r="AC55" i="32"/>
  <c r="W285" i="29"/>
  <c r="X284" i="29"/>
  <c r="AD55" i="32"/>
  <c r="L58" i="28" s="1"/>
  <c r="M58" i="28" s="1"/>
  <c r="AC283" i="32"/>
  <c r="AG64" i="32"/>
  <c r="G67" i="28"/>
  <c r="H67" i="28" s="1"/>
  <c r="AC162" i="32"/>
  <c r="AG59" i="32"/>
  <c r="G62" i="28"/>
  <c r="H62" i="28" s="1"/>
  <c r="AD26" i="32"/>
  <c r="L29" i="28" s="1"/>
  <c r="M29" i="28" s="1"/>
  <c r="Q76" i="33"/>
  <c r="AG298" i="32"/>
  <c r="G300" i="28"/>
  <c r="H300" i="28" s="1"/>
  <c r="AD194" i="32"/>
  <c r="L197" i="28" s="1"/>
  <c r="M197" i="28" s="1"/>
  <c r="AG136" i="32" l="1"/>
  <c r="G140" i="28"/>
  <c r="H140" i="28" s="1"/>
  <c r="AG75" i="32"/>
  <c r="W228" i="29"/>
  <c r="X252" i="29"/>
  <c r="X279" i="29"/>
  <c r="W280" i="29"/>
  <c r="G208" i="28"/>
  <c r="H208" i="28" s="1"/>
  <c r="X208" i="29" s="1"/>
  <c r="X235" i="29"/>
  <c r="W114" i="29"/>
  <c r="G36" i="28"/>
  <c r="H36" i="28" s="1"/>
  <c r="W37" i="29" s="1"/>
  <c r="AG304" i="32"/>
  <c r="G307" i="28"/>
  <c r="H307" i="28" s="1"/>
  <c r="W308" i="29" s="1"/>
  <c r="G307" i="29"/>
  <c r="W294" i="29"/>
  <c r="X293" i="29"/>
  <c r="G84" i="28"/>
  <c r="H84" i="28" s="1"/>
  <c r="AG81" i="32"/>
  <c r="X82" i="29"/>
  <c r="G262" i="28"/>
  <c r="H262" i="28" s="1"/>
  <c r="W212" i="29"/>
  <c r="G158" i="28"/>
  <c r="H158" i="28" s="1"/>
  <c r="W160" i="29" s="1"/>
  <c r="AG15" i="32"/>
  <c r="G17" i="28"/>
  <c r="H17" i="28" s="1"/>
  <c r="G168" i="28"/>
  <c r="H168" i="28" s="1"/>
  <c r="X168" i="29" s="1"/>
  <c r="X250" i="29"/>
  <c r="W250" i="29"/>
  <c r="G126" i="28"/>
  <c r="H126" i="28" s="1"/>
  <c r="W128" i="29" s="1"/>
  <c r="W152" i="29"/>
  <c r="W257" i="29"/>
  <c r="X257" i="29"/>
  <c r="X254" i="29"/>
  <c r="W254" i="29"/>
  <c r="G251" i="28"/>
  <c r="H251" i="28" s="1"/>
  <c r="X251" i="29" s="1"/>
  <c r="AC183" i="32"/>
  <c r="AD183" i="32"/>
  <c r="L186" i="28" s="1"/>
  <c r="M186" i="28" s="1"/>
  <c r="AD188" i="32"/>
  <c r="L191" i="28" s="1"/>
  <c r="M191" i="28" s="1"/>
  <c r="X39" i="29"/>
  <c r="AG52" i="32"/>
  <c r="G55" i="28"/>
  <c r="H55" i="28" s="1"/>
  <c r="AG139" i="32"/>
  <c r="G141" i="28"/>
  <c r="H141" i="28" s="1"/>
  <c r="G212" i="28"/>
  <c r="H212" i="28" s="1"/>
  <c r="W211" i="29" s="1"/>
  <c r="AG210" i="32"/>
  <c r="G212" i="29"/>
  <c r="X76" i="29"/>
  <c r="AG36" i="32"/>
  <c r="X136" i="29"/>
  <c r="W138" i="29"/>
  <c r="AD231" i="32"/>
  <c r="L233" i="28" s="1"/>
  <c r="M233" i="28" s="1"/>
  <c r="G128" i="28"/>
  <c r="H128" i="28" s="1"/>
  <c r="AG125" i="32"/>
  <c r="X170" i="29"/>
  <c r="W172" i="29"/>
  <c r="W40" i="29"/>
  <c r="AG24" i="32"/>
  <c r="G27" i="28"/>
  <c r="H27" i="28" s="1"/>
  <c r="W34" i="29"/>
  <c r="X33" i="29"/>
  <c r="X261" i="29"/>
  <c r="AG117" i="32"/>
  <c r="G120" i="28"/>
  <c r="H120" i="28" s="1"/>
  <c r="X183" i="29"/>
  <c r="W185" i="29"/>
  <c r="X50" i="29"/>
  <c r="W51" i="29"/>
  <c r="AC188" i="32"/>
  <c r="G191" i="28" s="1"/>
  <c r="H191" i="28" s="1"/>
  <c r="W52" i="29"/>
  <c r="X51" i="29"/>
  <c r="X28" i="29"/>
  <c r="W113" i="29"/>
  <c r="X110" i="29"/>
  <c r="G89" i="29"/>
  <c r="AD8" i="32"/>
  <c r="X151" i="29"/>
  <c r="X277" i="29"/>
  <c r="W278" i="29"/>
  <c r="AG143" i="32"/>
  <c r="G145" i="28"/>
  <c r="H145" i="28" s="1"/>
  <c r="W146" i="29" s="1"/>
  <c r="W191" i="29"/>
  <c r="X189" i="29"/>
  <c r="X301" i="29"/>
  <c r="W302" i="29"/>
  <c r="X61" i="29"/>
  <c r="W62" i="29"/>
  <c r="C145" i="29"/>
  <c r="AC264" i="32"/>
  <c r="AG264" i="32" s="1"/>
  <c r="W210" i="29"/>
  <c r="X211" i="29"/>
  <c r="AG223" i="32"/>
  <c r="G225" i="28"/>
  <c r="H225" i="28" s="1"/>
  <c r="X234" i="29"/>
  <c r="AG218" i="32"/>
  <c r="G220" i="28"/>
  <c r="H220" i="28" s="1"/>
  <c r="AG87" i="32"/>
  <c r="G90" i="28"/>
  <c r="H90" i="28" s="1"/>
  <c r="X134" i="29"/>
  <c r="AD264" i="32"/>
  <c r="L266" i="28" s="1"/>
  <c r="M266" i="28" s="1"/>
  <c r="AG266" i="32"/>
  <c r="G268" i="28"/>
  <c r="H268" i="28" s="1"/>
  <c r="W268" i="29" s="1"/>
  <c r="X14" i="29"/>
  <c r="W14" i="29"/>
  <c r="W284" i="29"/>
  <c r="X283" i="29"/>
  <c r="AD98" i="32"/>
  <c r="L101" i="28" s="1"/>
  <c r="M101" i="28" s="1"/>
  <c r="U101" i="29"/>
  <c r="W124" i="29"/>
  <c r="X122" i="29"/>
  <c r="W179" i="29"/>
  <c r="X177" i="29"/>
  <c r="AG98" i="32"/>
  <c r="G101" i="28"/>
  <c r="H101" i="28" s="1"/>
  <c r="X109" i="29"/>
  <c r="X78" i="29"/>
  <c r="W79" i="29"/>
  <c r="AG86" i="32"/>
  <c r="G89" i="28"/>
  <c r="H89" i="28" s="1"/>
  <c r="W90" i="29" s="1"/>
  <c r="W140" i="29"/>
  <c r="X139" i="29"/>
  <c r="X146" i="29"/>
  <c r="AG192" i="32"/>
  <c r="G195" i="28"/>
  <c r="H195" i="28" s="1"/>
  <c r="W87" i="29"/>
  <c r="X86" i="29"/>
  <c r="X67" i="29"/>
  <c r="W68" i="29"/>
  <c r="W81" i="29"/>
  <c r="X80" i="29"/>
  <c r="AG176" i="32"/>
  <c r="G179" i="28"/>
  <c r="H179" i="28" s="1"/>
  <c r="AG99" i="32"/>
  <c r="G102" i="28"/>
  <c r="H102" i="28" s="1"/>
  <c r="X149" i="29"/>
  <c r="W150" i="29"/>
  <c r="X23" i="29"/>
  <c r="W24" i="29"/>
  <c r="X124" i="29"/>
  <c r="W126" i="29"/>
  <c r="X286" i="29"/>
  <c r="W287" i="29"/>
  <c r="W283" i="29"/>
  <c r="X282" i="29"/>
  <c r="AG146" i="32"/>
  <c r="G148" i="28"/>
  <c r="H148" i="28" s="1"/>
  <c r="AG201" i="32"/>
  <c r="G203" i="28"/>
  <c r="H203" i="28" s="1"/>
  <c r="X256" i="29"/>
  <c r="W256" i="29"/>
  <c r="X291" i="29"/>
  <c r="W292" i="29"/>
  <c r="X119" i="29"/>
  <c r="W121" i="29"/>
  <c r="W25" i="29"/>
  <c r="X24" i="29"/>
  <c r="AG306" i="32"/>
  <c r="G309" i="28"/>
  <c r="H309" i="28" s="1"/>
  <c r="X206" i="29"/>
  <c r="W206" i="29"/>
  <c r="W270" i="29"/>
  <c r="X270" i="29"/>
  <c r="S326" i="29"/>
  <c r="S330" i="29" s="1"/>
  <c r="E10" i="29"/>
  <c r="AG169" i="32"/>
  <c r="G172" i="28"/>
  <c r="H172" i="28" s="1"/>
  <c r="AG271" i="32"/>
  <c r="G273" i="28"/>
  <c r="H273" i="28" s="1"/>
  <c r="X36" i="29"/>
  <c r="AG120" i="32"/>
  <c r="G123" i="28"/>
  <c r="H123" i="28" s="1"/>
  <c r="W99" i="29"/>
  <c r="X98" i="29"/>
  <c r="X106" i="29"/>
  <c r="W107" i="29"/>
  <c r="W183" i="29"/>
  <c r="X181" i="29"/>
  <c r="W157" i="29"/>
  <c r="X156" i="29"/>
  <c r="W311" i="29"/>
  <c r="X310" i="29"/>
  <c r="X289" i="29"/>
  <c r="W290" i="29"/>
  <c r="X242" i="29"/>
  <c r="W242" i="29"/>
  <c r="W144" i="29"/>
  <c r="X143" i="29"/>
  <c r="X241" i="29"/>
  <c r="W241" i="29"/>
  <c r="AG283" i="32"/>
  <c r="G285" i="28"/>
  <c r="H285" i="28" s="1"/>
  <c r="W195" i="29"/>
  <c r="X193" i="29"/>
  <c r="AG214" i="32"/>
  <c r="G216" i="28"/>
  <c r="H216" i="28" s="1"/>
  <c r="AG219" i="32"/>
  <c r="G221" i="28"/>
  <c r="H221" i="28" s="1"/>
  <c r="X188" i="29"/>
  <c r="W190" i="29"/>
  <c r="AG193" i="32"/>
  <c r="G196" i="28"/>
  <c r="H196" i="28" s="1"/>
  <c r="X253" i="29"/>
  <c r="W253" i="29"/>
  <c r="X215" i="29"/>
  <c r="W214" i="29"/>
  <c r="X93" i="29"/>
  <c r="W94" i="29"/>
  <c r="W162" i="29"/>
  <c r="X160" i="29"/>
  <c r="AG50" i="32"/>
  <c r="G53" i="28"/>
  <c r="H53" i="28" s="1"/>
  <c r="X133" i="29"/>
  <c r="W135" i="29"/>
  <c r="X244" i="29"/>
  <c r="W244" i="29"/>
  <c r="W303" i="29"/>
  <c r="X302" i="29"/>
  <c r="W295" i="29"/>
  <c r="X294" i="29"/>
  <c r="X237" i="29"/>
  <c r="W237" i="29"/>
  <c r="X38" i="29"/>
  <c r="W39" i="29"/>
  <c r="X56" i="29"/>
  <c r="W57" i="29"/>
  <c r="W301" i="29"/>
  <c r="X300" i="29"/>
  <c r="T326" i="29"/>
  <c r="T330" i="29" s="1"/>
  <c r="F10" i="29"/>
  <c r="AG295" i="32"/>
  <c r="G297" i="28"/>
  <c r="H297" i="28" s="1"/>
  <c r="AG272" i="32"/>
  <c r="G274" i="28"/>
  <c r="H274" i="28" s="1"/>
  <c r="W309" i="29"/>
  <c r="X308" i="29"/>
  <c r="G324" i="32"/>
  <c r="U10" i="29"/>
  <c r="X42" i="29"/>
  <c r="W43" i="29"/>
  <c r="W35" i="29"/>
  <c r="X34" i="29"/>
  <c r="AG78" i="32"/>
  <c r="G81" i="28"/>
  <c r="H81" i="28" s="1"/>
  <c r="AD155" i="32"/>
  <c r="L157" i="28" s="1"/>
  <c r="M157" i="28" s="1"/>
  <c r="W42" i="29"/>
  <c r="X41" i="29"/>
  <c r="X231" i="29"/>
  <c r="W231" i="29"/>
  <c r="X245" i="29"/>
  <c r="W245" i="29"/>
  <c r="X265" i="29"/>
  <c r="W265" i="29"/>
  <c r="X200" i="29"/>
  <c r="W200" i="29"/>
  <c r="W173" i="29"/>
  <c r="X171" i="29"/>
  <c r="W166" i="29"/>
  <c r="X164" i="29"/>
  <c r="AG181" i="32"/>
  <c r="G184" i="28"/>
  <c r="H184" i="28" s="1"/>
  <c r="X298" i="29"/>
  <c r="W299" i="29"/>
  <c r="W255" i="29"/>
  <c r="X255" i="29"/>
  <c r="W222" i="29"/>
  <c r="X222" i="29"/>
  <c r="X121" i="29"/>
  <c r="W123" i="29"/>
  <c r="W223" i="29"/>
  <c r="X223" i="29"/>
  <c r="W41" i="29"/>
  <c r="X40" i="29"/>
  <c r="W297" i="29"/>
  <c r="X296" i="29"/>
  <c r="W145" i="29"/>
  <c r="X144" i="29"/>
  <c r="R326" i="29"/>
  <c r="D10" i="29"/>
  <c r="AG55" i="32"/>
  <c r="G58" i="28"/>
  <c r="H58" i="28" s="1"/>
  <c r="X147" i="29"/>
  <c r="W148" i="29"/>
  <c r="AG29" i="32"/>
  <c r="G32" i="28"/>
  <c r="H32" i="28" s="1"/>
  <c r="X226" i="29"/>
  <c r="W226" i="29"/>
  <c r="W306" i="29"/>
  <c r="X305" i="29"/>
  <c r="AG91" i="32"/>
  <c r="G94" i="28"/>
  <c r="H94" i="28" s="1"/>
  <c r="X25" i="29"/>
  <c r="W26" i="29"/>
  <c r="AG290" i="32"/>
  <c r="G292" i="28"/>
  <c r="H292" i="28" s="1"/>
  <c r="AG261" i="32"/>
  <c r="G263" i="28"/>
  <c r="H263" i="28" s="1"/>
  <c r="X152" i="29"/>
  <c r="W153" i="29"/>
  <c r="AG28" i="32"/>
  <c r="G31" i="28"/>
  <c r="H31" i="28" s="1"/>
  <c r="X62" i="29"/>
  <c r="W63" i="29"/>
  <c r="X68" i="29"/>
  <c r="W69" i="29"/>
  <c r="X262" i="29"/>
  <c r="W262" i="29"/>
  <c r="AG163" i="32"/>
  <c r="G166" i="28"/>
  <c r="H166" i="28" s="1"/>
  <c r="L10" i="28"/>
  <c r="W23" i="29"/>
  <c r="X22" i="29"/>
  <c r="AG228" i="32"/>
  <c r="G230" i="28"/>
  <c r="H230" i="28" s="1"/>
  <c r="W246" i="29"/>
  <c r="X246" i="29"/>
  <c r="AC155" i="32"/>
  <c r="AG93" i="32"/>
  <c r="G96" i="28"/>
  <c r="H96" i="28" s="1"/>
  <c r="X15" i="29"/>
  <c r="W15" i="29"/>
  <c r="Q326" i="29"/>
  <c r="C10" i="29"/>
  <c r="AG8" i="32"/>
  <c r="G10" i="28"/>
  <c r="X175" i="29"/>
  <c r="W177" i="29"/>
  <c r="AG151" i="32"/>
  <c r="G153" i="28"/>
  <c r="H153" i="28" s="1"/>
  <c r="AG32" i="32"/>
  <c r="G35" i="28"/>
  <c r="H35" i="28" s="1"/>
  <c r="X207" i="29"/>
  <c r="W207" i="29"/>
  <c r="AG76" i="32"/>
  <c r="G79" i="28"/>
  <c r="H79" i="28" s="1"/>
  <c r="AG162" i="32"/>
  <c r="G165" i="28"/>
  <c r="H165" i="28" s="1"/>
  <c r="AG194" i="32"/>
  <c r="G197" i="28"/>
  <c r="H197" i="28" s="1"/>
  <c r="W46" i="29"/>
  <c r="X45" i="29"/>
  <c r="X238" i="29"/>
  <c r="W238" i="29"/>
  <c r="X192" i="29"/>
  <c r="W194" i="29"/>
  <c r="X162" i="29"/>
  <c r="W164" i="29"/>
  <c r="W70" i="29"/>
  <c r="X69" i="29"/>
  <c r="X275" i="29"/>
  <c r="W276" i="29"/>
  <c r="W108" i="29"/>
  <c r="X107" i="29"/>
  <c r="W117" i="29"/>
  <c r="X115" i="29"/>
  <c r="W133" i="29"/>
  <c r="X131" i="29"/>
  <c r="X227" i="29"/>
  <c r="W227" i="29"/>
  <c r="AG179" i="32"/>
  <c r="G182" i="28"/>
  <c r="H182" i="28" s="1"/>
  <c r="X299" i="29"/>
  <c r="W300" i="29"/>
  <c r="AC231" i="32"/>
  <c r="W165" i="29"/>
  <c r="X163" i="29"/>
  <c r="W73" i="29"/>
  <c r="X72" i="29"/>
  <c r="X142" i="29"/>
  <c r="W143" i="29"/>
  <c r="W249" i="29"/>
  <c r="X249" i="29"/>
  <c r="X180" i="29"/>
  <c r="W182" i="29"/>
  <c r="AG113" i="32"/>
  <c r="G116" i="28"/>
  <c r="H116" i="28" s="1"/>
  <c r="X140" i="29"/>
  <c r="W141" i="29"/>
  <c r="X59" i="29"/>
  <c r="W60" i="29"/>
  <c r="X60" i="29"/>
  <c r="W61" i="29"/>
  <c r="AG26" i="32"/>
  <c r="G29" i="28"/>
  <c r="H29" i="28" s="1"/>
  <c r="X117" i="29"/>
  <c r="W119" i="29"/>
  <c r="W44" i="29"/>
  <c r="X43" i="29"/>
  <c r="X307" i="29" l="1"/>
  <c r="W85" i="29"/>
  <c r="X84" i="29"/>
  <c r="X126" i="29"/>
  <c r="W170" i="29"/>
  <c r="X158" i="29"/>
  <c r="W102" i="29"/>
  <c r="AD324" i="32"/>
  <c r="W17" i="29"/>
  <c r="X17" i="29"/>
  <c r="AG188" i="32"/>
  <c r="W56" i="29"/>
  <c r="X55" i="29"/>
  <c r="W251" i="29"/>
  <c r="AG183" i="32"/>
  <c r="G186" i="28"/>
  <c r="H186" i="28" s="1"/>
  <c r="X212" i="29"/>
  <c r="W142" i="29"/>
  <c r="X141" i="29"/>
  <c r="X268" i="29"/>
  <c r="W28" i="29"/>
  <c r="X27" i="29"/>
  <c r="X145" i="29"/>
  <c r="X128" i="29"/>
  <c r="W130" i="29"/>
  <c r="W122" i="29"/>
  <c r="X120" i="29"/>
  <c r="F326" i="29"/>
  <c r="AB48" i="41" s="1"/>
  <c r="C326" i="29"/>
  <c r="Y48" i="41" s="1"/>
  <c r="D326" i="29"/>
  <c r="P45" i="41" s="1"/>
  <c r="E326" i="29"/>
  <c r="AA48" i="41" s="1"/>
  <c r="G266" i="28"/>
  <c r="H266" i="28" s="1"/>
  <c r="X266" i="29" s="1"/>
  <c r="G101" i="29"/>
  <c r="X101" i="29"/>
  <c r="X220" i="29"/>
  <c r="W220" i="29"/>
  <c r="X89" i="29"/>
  <c r="W91" i="29"/>
  <c r="X90" i="29"/>
  <c r="W225" i="29"/>
  <c r="X225" i="29"/>
  <c r="X195" i="29"/>
  <c r="W196" i="29"/>
  <c r="X96" i="29"/>
  <c r="W97" i="29"/>
  <c r="W174" i="29"/>
  <c r="X172" i="29"/>
  <c r="X182" i="29"/>
  <c r="W184" i="29"/>
  <c r="H10" i="28"/>
  <c r="R333" i="29"/>
  <c r="R330" i="29"/>
  <c r="X216" i="29"/>
  <c r="W215" i="29"/>
  <c r="W125" i="29"/>
  <c r="X123" i="29"/>
  <c r="X203" i="29"/>
  <c r="W203" i="29"/>
  <c r="Q333" i="29"/>
  <c r="Q330" i="29"/>
  <c r="L326" i="28"/>
  <c r="L331" i="28" s="1"/>
  <c r="M10" i="28"/>
  <c r="W32" i="29"/>
  <c r="X31" i="29"/>
  <c r="W154" i="29"/>
  <c r="X153" i="29"/>
  <c r="AG155" i="32"/>
  <c r="G157" i="28"/>
  <c r="H157" i="28" s="1"/>
  <c r="W293" i="29"/>
  <c r="X292" i="29"/>
  <c r="X165" i="29"/>
  <c r="W167" i="29"/>
  <c r="W298" i="29"/>
  <c r="X297" i="29"/>
  <c r="X309" i="29"/>
  <c r="W310" i="29"/>
  <c r="W149" i="29"/>
  <c r="X148" i="29"/>
  <c r="X102" i="29"/>
  <c r="W103" i="29"/>
  <c r="AG231" i="32"/>
  <c r="G233" i="28"/>
  <c r="H233" i="28" s="1"/>
  <c r="U326" i="29"/>
  <c r="U330" i="29" s="1"/>
  <c r="G10" i="29"/>
  <c r="X197" i="29"/>
  <c r="W158" i="29"/>
  <c r="W30" i="29"/>
  <c r="X29" i="29"/>
  <c r="W54" i="29"/>
  <c r="X53" i="29"/>
  <c r="W82" i="29"/>
  <c r="X81" i="29"/>
  <c r="X35" i="29"/>
  <c r="W36" i="29"/>
  <c r="X166" i="29"/>
  <c r="W169" i="29"/>
  <c r="W286" i="29"/>
  <c r="X285" i="29"/>
  <c r="W274" i="29"/>
  <c r="X273" i="29"/>
  <c r="X179" i="29"/>
  <c r="W181" i="29"/>
  <c r="X263" i="29"/>
  <c r="W263" i="29"/>
  <c r="X32" i="29"/>
  <c r="W33" i="29"/>
  <c r="W186" i="29"/>
  <c r="X184" i="29"/>
  <c r="W59" i="29"/>
  <c r="X58" i="29"/>
  <c r="X274" i="29"/>
  <c r="W275" i="29"/>
  <c r="X221" i="29"/>
  <c r="W221" i="29"/>
  <c r="W118" i="29"/>
  <c r="X116" i="29"/>
  <c r="W197" i="29"/>
  <c r="X196" i="29"/>
  <c r="X230" i="29"/>
  <c r="W230" i="29"/>
  <c r="W80" i="29"/>
  <c r="X79" i="29"/>
  <c r="AC324" i="32"/>
  <c r="X191" i="29"/>
  <c r="W193" i="29"/>
  <c r="X94" i="29"/>
  <c r="W95" i="29"/>
  <c r="X186" i="29" l="1"/>
  <c r="W188" i="29"/>
  <c r="Z48" i="41"/>
  <c r="P46" i="41"/>
  <c r="M326" i="28"/>
  <c r="M331" i="28" s="1"/>
  <c r="P47" i="41"/>
  <c r="P44" i="41"/>
  <c r="G326" i="29"/>
  <c r="AC48" i="41" s="1"/>
  <c r="W266" i="29"/>
  <c r="W10" i="29"/>
  <c r="X10" i="29" s="1"/>
  <c r="H326" i="28"/>
  <c r="H331" i="28" s="1"/>
  <c r="W159" i="29"/>
  <c r="X157" i="29"/>
  <c r="G326" i="28"/>
  <c r="G331" i="28" s="1"/>
  <c r="X233" i="29"/>
  <c r="W233" i="29"/>
  <c r="P48" i="41" l="1"/>
  <c r="P50" i="41" s="1"/>
  <c r="P54" i="41" s="1"/>
  <c r="X328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Miranda</author>
    <author>tc={3F890991-AF56-4CB2-83B1-325293538152}</author>
    <author>tc={7F493A56-9526-4EBB-BE4E-3B87B50221D5}</author>
    <author>tc={8A356C7F-09DA-4764-92BA-40D18510F91C}</author>
    <author>tc={63135B47-8B5D-43A9-91CD-1DC05EA6D7F4}</author>
    <author>tc={EE05C575-6B9E-4B77-B4BC-445F5D1C981F}</author>
  </authors>
  <commentList>
    <comment ref="L1" authorId="0" shapeId="0" xr:uid="{277878A3-1C68-4375-8875-222CAB384D52}">
      <text>
        <r>
          <rPr>
            <b/>
            <sz val="9"/>
            <color indexed="81"/>
            <rFont val="Tahoma"/>
            <family val="2"/>
          </rPr>
          <t>Vanessa Miranda:</t>
        </r>
        <r>
          <rPr>
            <sz val="9"/>
            <color indexed="81"/>
            <rFont val="Tahoma"/>
            <family val="2"/>
          </rPr>
          <t xml:space="preserve">
divide by OPEB Expense years minus 1</t>
        </r>
      </text>
    </comment>
    <comment ref="H2" authorId="0" shapeId="0" xr:uid="{5D585325-1609-4A79-A4B2-654798EEB78E}">
      <text>
        <r>
          <rPr>
            <b/>
            <sz val="9"/>
            <color indexed="81"/>
            <rFont val="Tahoma"/>
            <family val="2"/>
          </rPr>
          <t>Vanessa Miranda:</t>
        </r>
        <r>
          <rPr>
            <sz val="9"/>
            <color indexed="81"/>
            <rFont val="Tahoma"/>
            <family val="2"/>
          </rPr>
          <t xml:space="preserve">
divided by years as listed at O-05.02,pdf pg 26 (Section 2: GASB 75 info)</t>
        </r>
      </text>
    </comment>
    <comment ref="G5" authorId="1" shapeId="0" xr:uid="{3F890991-AF56-4CB2-83B1-325293538152}">
      <text>
        <t>[Threaded comment]
Your version of Excel allows you to read this threaded comment; however, any edits to it will get removed if the file is opened in a newer version of Excel. Learn more: https://go.microsoft.com/fwlink/?linkid=870924
Comment:
    plug of -5</t>
      </text>
    </comment>
    <comment ref="L5" authorId="2" shapeId="0" xr:uid="{7F493A56-9526-4EBB-BE4E-3B87B50221D5}">
      <text>
        <t>[Threaded comment]
Your version of Excel allows you to read this threaded comment; however, any edits to it will get removed if the file is opened in a newer version of Excel. Learn more: https://go.microsoft.com/fwlink/?linkid=870924
Comment:
    plug of -6</t>
      </text>
    </comment>
    <comment ref="M5" authorId="3" shapeId="0" xr:uid="{8A356C7F-09DA-4764-92BA-40D18510F91C}">
      <text>
        <t>[Threaded comment]
Your version of Excel allows you to read this threaded comment; however, any edits to it will get removed if the file is opened in a newer version of Excel. Learn more: https://go.microsoft.com/fwlink/?linkid=870924
Comment:
    plug of -6</t>
      </text>
    </comment>
    <comment ref="N5" authorId="4" shapeId="0" xr:uid="{63135B47-8B5D-43A9-91CD-1DC05EA6D7F4}">
      <text>
        <t>[Threaded comment]
Your version of Excel allows you to read this threaded comment; however, any edits to it will get removed if the file is opened in a newer version of Excel. Learn more: https://go.microsoft.com/fwlink/?linkid=870924
Comment:
    plug of -6</t>
      </text>
    </comment>
    <comment ref="O5" authorId="5" shapeId="0" xr:uid="{EE05C575-6B9E-4B77-B4BC-445F5D1C981F}">
      <text>
        <t>[Threaded comment]
Your version of Excel allows you to read this threaded comment; however, any edits to it will get removed if the file is opened in a newer version of Excel. Learn more: https://go.microsoft.com/fwlink/?linkid=870924
Comment:
    plug of -6</t>
      </text>
    </comment>
  </commentList>
</comments>
</file>

<file path=xl/sharedStrings.xml><?xml version="1.0" encoding="utf-8"?>
<sst xmlns="http://schemas.openxmlformats.org/spreadsheetml/2006/main" count="3207" uniqueCount="603">
  <si>
    <t>Employer Code</t>
  </si>
  <si>
    <t>Employer</t>
  </si>
  <si>
    <t>Employer Allocation Percentage</t>
  </si>
  <si>
    <t>(1)</t>
  </si>
  <si>
    <t>(2)</t>
  </si>
  <si>
    <t>STATE OF NEW MEXICO</t>
  </si>
  <si>
    <t>21ST CENTURY PUBLIC ACADEMY</t>
  </si>
  <si>
    <t>ABQ CHARTER ACADEMY</t>
  </si>
  <si>
    <t>ACADEMY FOR TECHNOLOGY &amp; THE CLASSICS</t>
  </si>
  <si>
    <t>ACE LEADERSHIP</t>
  </si>
  <si>
    <t>ALAMOGORDO PUBLIC SCHOOLS</t>
  </si>
  <si>
    <t>ALBUQUERQUE BERNALILLO COUNTY WATER UTILITY AUTHORITY</t>
  </si>
  <si>
    <t>ALBUQUERQUE HOUSING AUTHORITY</t>
  </si>
  <si>
    <t>ALBUQUERQUE PUBLIC SCHOOLS</t>
  </si>
  <si>
    <t>ALBUQUERQUE SCHOOL OF EXCELLENCE</t>
  </si>
  <si>
    <t>ALBUQUERQUE SIGN LANGUAGE ACADEMY</t>
  </si>
  <si>
    <t>ALBUQUERQUE TALENT DEVELOPMENT SECONDARY CHARTER SCHOOL</t>
  </si>
  <si>
    <t>ALDO LEOPOLD CHARTER SCHOOL</t>
  </si>
  <si>
    <t>ALICE KING COMMUNITY SCHOOL</t>
  </si>
  <si>
    <t>ALMA D' ARTE CHARTER HIGH</t>
  </si>
  <si>
    <t>AMY BIEHL CHARTER SCHOOL</t>
  </si>
  <si>
    <t>ANANSI CHARTER SCHOOL</t>
  </si>
  <si>
    <t>ANIMAS PUBLIC SCHOOLS</t>
  </si>
  <si>
    <t>ARTESIA PUBLIC SCHOOLS</t>
  </si>
  <si>
    <t>AZTEC MUNICIPAL SCHOOLS</t>
  </si>
  <si>
    <t>BELEN CONSOLIDATED SCHOOLS</t>
  </si>
  <si>
    <t>BERNALILLO COUNTY</t>
  </si>
  <si>
    <t>BERNALILLO PUBLIC SCHOOLS</t>
  </si>
  <si>
    <t>BLOOMFIELD MUNICIPAL SCHOOLS</t>
  </si>
  <si>
    <t>CAPITAN MUNICIPAL SCHOOLS</t>
  </si>
  <si>
    <t>CARLSBAD MUNICIPAL SCHOOLS</t>
  </si>
  <si>
    <t>CARRIZOZO MUNICIPAL SCHOOLS</t>
  </si>
  <si>
    <t>CENTRAL CONSOLIDATED SCHOOL DISTRICT #22</t>
  </si>
  <si>
    <t>CENTRAL NEW MEXICO COMMUNITY COLLEGE</t>
  </si>
  <si>
    <t>CENTRAL REGION EDUCATION COOPERATIVE</t>
  </si>
  <si>
    <t>CESAR CHAVEZ COMMUNITY CHARTER SCHOOL</t>
  </si>
  <si>
    <t>CHAMA VALLEY INDEPENDENT SCHOOLS</t>
  </si>
  <si>
    <t>CHAVES COUNTY</t>
  </si>
  <si>
    <t>CHRISTINE DUNCAN'S HERITAGE ACADEMY</t>
  </si>
  <si>
    <t>CIBOLA COUNTY</t>
  </si>
  <si>
    <t>CIEN AGUAS INTERNATIONAL CHARTER SCHOOL</t>
  </si>
  <si>
    <t>CIMARRON MUNICIPAL SCHOOLS</t>
  </si>
  <si>
    <t>CITY OF ALAMOGORDO</t>
  </si>
  <si>
    <t>CITY OF ALBUQUERQUE</t>
  </si>
  <si>
    <t>CITY OF AZTEC</t>
  </si>
  <si>
    <t>CITY OF BELEN</t>
  </si>
  <si>
    <t>CITY OF BLOOMFIELD</t>
  </si>
  <si>
    <t>CITY OF CARLSBAD</t>
  </si>
  <si>
    <t>CITY OF CLOVIS</t>
  </si>
  <si>
    <t>CITY OF DEMING</t>
  </si>
  <si>
    <t>CITY OF ESPANOLA</t>
  </si>
  <si>
    <t>CITY OF FARMINGTON</t>
  </si>
  <si>
    <t>CITY OF GALLUP</t>
  </si>
  <si>
    <t>CITY OF JAL</t>
  </si>
  <si>
    <t>CITY OF LAS CRUCES</t>
  </si>
  <si>
    <t>CITY OF LAS VEGAS</t>
  </si>
  <si>
    <t>CITY OF MORIARTY</t>
  </si>
  <si>
    <t>CITY OF PORTALES</t>
  </si>
  <si>
    <t>CITY OF RATON</t>
  </si>
  <si>
    <t>CITY OF RIO RANCHO</t>
  </si>
  <si>
    <t>CITY OF ROSWELL</t>
  </si>
  <si>
    <t>CITY OF SANTA FE</t>
  </si>
  <si>
    <t>CITY OF SANTA ROSA</t>
  </si>
  <si>
    <t>CITY OF SOCORRO</t>
  </si>
  <si>
    <t>CITY OF SUNLAND PARK</t>
  </si>
  <si>
    <t>CITY OF T OR C</t>
  </si>
  <si>
    <t>CITY OF TEXICO</t>
  </si>
  <si>
    <t>CITY OF TUCUMCARI</t>
  </si>
  <si>
    <t>CLAYTON MUNICIPAL SCHOOLS</t>
  </si>
  <si>
    <t>CLOUDCROFT MUNICIPAL  SCHOOL DISTRICT</t>
  </si>
  <si>
    <t>CLOVIS MUNICIPAL SCHOOLS</t>
  </si>
  <si>
    <t>COBRE CONSOLIDATED SCHOOLS</t>
  </si>
  <si>
    <t>COLFAX COUNTY</t>
  </si>
  <si>
    <t>CORAL COMMUNITY CHARTER SCHOOL</t>
  </si>
  <si>
    <t>CORONA PUBLIC SCHOOLS</t>
  </si>
  <si>
    <t>CORRALES INTERNATIONAL SCHOOL</t>
  </si>
  <si>
    <t xml:space="preserve">COTTONWOOD CLASSICAL PREPARATORY SCHOOL </t>
  </si>
  <si>
    <t>COTTONWOOD VALLEY CHARTER SCHOOL</t>
  </si>
  <si>
    <t>CUBA INDEPENDENT SCHOOLS</t>
  </si>
  <si>
    <t>CURRY COUNTY</t>
  </si>
  <si>
    <t>DEMING CESAR CHAVEZ CHARTER HIGH SCHOOL</t>
  </si>
  <si>
    <t>DEMING PUBLIC SCHOOLS</t>
  </si>
  <si>
    <t>DES MOINES MUNICIPAL SCHOOLS</t>
  </si>
  <si>
    <t>DEXTER CONSOLIDATED SCHOOLS</t>
  </si>
  <si>
    <t>DIGITAL ARTS &amp; TECHNOLOGY ACADEMY</t>
  </si>
  <si>
    <t>DORA CONSOLIDATED SCHOOLS</t>
  </si>
  <si>
    <t>DREAM DINE' CHARTER SCHOOL</t>
  </si>
  <si>
    <t>DULCE INDEPENDENT SCHOOLS</t>
  </si>
  <si>
    <t>DZIL DIT L'OOI SCHOOL OF EMPOWERMENT</t>
  </si>
  <si>
    <t>EAST MOUNTAIN HIGH SCHOOL</t>
  </si>
  <si>
    <t>EASTERN NEW MEXICO UNIVERSITY AT ROSWELL</t>
  </si>
  <si>
    <t>EASTERN NEW MEXICO UNIVERSITY AT PORTALES</t>
  </si>
  <si>
    <t>EDDY COUNTY</t>
  </si>
  <si>
    <t>EL CAMINO REAL ACADEMY</t>
  </si>
  <si>
    <t>ELIDA MUNICIPAL SCHOOLS</t>
  </si>
  <si>
    <t>ESPANOLA PUBLIC SCHOOLS</t>
  </si>
  <si>
    <t>ESTANCIA MUNICIPAL SCHOOLS</t>
  </si>
  <si>
    <t>ESTANCIA VALLEY CLASSICAL CHARTER SCHOOL</t>
  </si>
  <si>
    <t>EUNICE PUBLIC SCHOOLS</t>
  </si>
  <si>
    <t>EXPLORE ACADEMY</t>
  </si>
  <si>
    <t>FARMINGTON MUNICIPAL SCHOOLS</t>
  </si>
  <si>
    <t>FLOYD MUNICIPAL SCHOOLS</t>
  </si>
  <si>
    <t>FT SUMNER MUNICIPAL SCHOOLS</t>
  </si>
  <si>
    <t>GADSDEN INDEPENDENT SCHOOL DISTRICT</t>
  </si>
  <si>
    <t>GALLUP HOUSING AUTHORITY</t>
  </si>
  <si>
    <t>GALLUP-MCKINLEY COUNTY SCHOOLS</t>
  </si>
  <si>
    <t>GILBERT L. SENA CHARTER HIGH SCHOOL</t>
  </si>
  <si>
    <t>GORDON BERNELL CHARTER SCHOOL</t>
  </si>
  <si>
    <t>GRADY MUNICIPAL SCHOOLS</t>
  </si>
  <si>
    <t>GRANT COUNTY</t>
  </si>
  <si>
    <t>GRANTS-CIBOLA COUNTY SCHOOLS</t>
  </si>
  <si>
    <t>HAGERMAN MUNICIPAL SCHOOLS</t>
  </si>
  <si>
    <t>HATCH VALLEY MUNICIPAL SCHOOLS</t>
  </si>
  <si>
    <t>HEALTH LEADERSHIP HIGH SCHOOL</t>
  </si>
  <si>
    <t>HIGH PLAINS REGIONAL EDUCATION COOPERATIVE</t>
  </si>
  <si>
    <t>HOBBS MUNICIPAL SCHOOLS</t>
  </si>
  <si>
    <t>HONDO VALLEY PUBLIC SCHOOLS</t>
  </si>
  <si>
    <t>HORIZON ACADEMY WEST</t>
  </si>
  <si>
    <t>HOUSE MUNICIPAL SCHOOLS</t>
  </si>
  <si>
    <t>INTERNATIONAL SCHOOL AT MESA DEL SOL</t>
  </si>
  <si>
    <t>J. PAUL TAYLOR ACADEMY</t>
  </si>
  <si>
    <t>JAL PUBLIC SCHOOLS</t>
  </si>
  <si>
    <t>JEFFERSON MONTESSORI ACADEMY</t>
  </si>
  <si>
    <t>JEMEZ MOUNTAIN SCHOOL DISTRICT</t>
  </si>
  <si>
    <t>JEMEZ VALLEY PUBLIC SCHOOLS</t>
  </si>
  <si>
    <t>LA ACADEMIA DE DOLORES HUERTA</t>
  </si>
  <si>
    <t>LA ACADEMIA DE ESPERANZA CHARTER SCHOOL</t>
  </si>
  <si>
    <t>LA PROMESA EARLY LEARNING CENTER</t>
  </si>
  <si>
    <t>LA TIERRA MONTESSORI SCHOOL</t>
  </si>
  <si>
    <t>LAKE ARTHUR SCHOOLS</t>
  </si>
  <si>
    <t>LAS CRUCES SCHOOL DISTRICT #2</t>
  </si>
  <si>
    <t>LAS MONTANAS CHARTER HIGH SCHOOL</t>
  </si>
  <si>
    <t>LAS VEGAS CITY SCHOOLS</t>
  </si>
  <si>
    <t>LEA COUNTY</t>
  </si>
  <si>
    <t>LINCOLN COUNTY</t>
  </si>
  <si>
    <t>LINDRITH AREA HERITAGE SCHOOL</t>
  </si>
  <si>
    <t>LOGAN MUNICIPAL SCHOOLS</t>
  </si>
  <si>
    <t>LORDSBURG MUNICIPAL SCHOOLS</t>
  </si>
  <si>
    <t>LOS ALAMOS COUNTY</t>
  </si>
  <si>
    <t>LOS ALAMOS PUBLIC SCHOOLS</t>
  </si>
  <si>
    <t>LOS LUNAS CONSOLIDATED SCHOOLS</t>
  </si>
  <si>
    <t>LOS PUENTES CHARTER SCHOOL</t>
  </si>
  <si>
    <t>LOVING MUNICIPAL SCHOOLS</t>
  </si>
  <si>
    <t>LOVINGTON MUNICIPAL SCHOOLS</t>
  </si>
  <si>
    <t>LUNA COMMUNITY COLLEGE</t>
  </si>
  <si>
    <t>LUNA COUNTY</t>
  </si>
  <si>
    <t>MAGDALENA MUNICIPAL SCHOOLS</t>
  </si>
  <si>
    <t>MAXWELL MUNICIPAL SCHOOLS</t>
  </si>
  <si>
    <t>MCCURDY CHARTER SCHOOL</t>
  </si>
  <si>
    <t>MCKINLEY COUNTY</t>
  </si>
  <si>
    <t>MEDIA ARTS COLLABORATIVE CHARTER SCHOOL</t>
  </si>
  <si>
    <t>MELROSE MUNICIPAL SCHOOLS</t>
  </si>
  <si>
    <t>MESA VISTA SCHOOLS</t>
  </si>
  <si>
    <t>MESALANDS COMMUNITY COLLEGE</t>
  </si>
  <si>
    <t>MIDDLE COLLEGE HIGH SCHOOL</t>
  </si>
  <si>
    <t>MISSION ACHIEVEMENT &amp; SUCCESS SCHOOL</t>
  </si>
  <si>
    <t>MONTE DEL SOL CHARTER SCHOOL</t>
  </si>
  <si>
    <t>MONTESSORI ELEMENTARY CHARTER SCHOOL</t>
  </si>
  <si>
    <t>MONTESSORI OF THE RIO GRANDE CHARTER SCHOOL</t>
  </si>
  <si>
    <t>MORA INDEPENDENT SCHOOLS</t>
  </si>
  <si>
    <t>MORENO VALLEY CHARTER HIGH SCHOOL</t>
  </si>
  <si>
    <t>MORIARTY-EDGEWOOD SCHOOL DISTRICT</t>
  </si>
  <si>
    <t>MOSAIC ACADEMY CHARTER SCHOOL</t>
  </si>
  <si>
    <t>MOSQUERO MUNICIPAL SCHOOLS</t>
  </si>
  <si>
    <t>MOUNTAIN MAHOGANY COMMUNITY SCHOOL</t>
  </si>
  <si>
    <t>MOUNTAINAIR PUBLIC SCHOOLS</t>
  </si>
  <si>
    <t xml:space="preserve">NATIONAL EDUCATION ASSOCIATION - NEW MEXICO </t>
  </si>
  <si>
    <t>NATIVE AMERICAN COMMUNITY ACADEMY</t>
  </si>
  <si>
    <t>NEW MEXICO ACTIVITIES ASSOCIATION</t>
  </si>
  <si>
    <t>NEW MEXICO CONNECTIONS ACADEMY</t>
  </si>
  <si>
    <t>NEW MEXICO HIGHLANDS UNIVERSITY</t>
  </si>
  <si>
    <t>NEW MEXICO INTERNATIONAL SCHOOL</t>
  </si>
  <si>
    <t>NEW MEXICO JUNIOR COLLEGE</t>
  </si>
  <si>
    <t>NEW MEXICO MILITARY INSTITUTE</t>
  </si>
  <si>
    <t>NEW MEXICO SCHOOL FOR THE ARTS</t>
  </si>
  <si>
    <t>NEW MEXICO SCHOOL FOR THE DEAF</t>
  </si>
  <si>
    <t>NM SCHOOL FOR THE BLIND &amp; VISUAL IMPAIRED</t>
  </si>
  <si>
    <t>NORTH CENTRAL NEW MEXICO ECONOMIC DEVELOPMENT DISTRICT</t>
  </si>
  <si>
    <t>NORTH CENTRAL REGIONAL TRANSIT DISTRICT</t>
  </si>
  <si>
    <t>NORTH CENTRAL SOLID WASTE AUTHORITY</t>
  </si>
  <si>
    <t>NORTH VALLEY ACADEMY</t>
  </si>
  <si>
    <t>NORTHEAST REGIONAL EDUCATION COOPERATIVE #4</t>
  </si>
  <si>
    <t>NORTHERN NEW MEXICO COLLEGE</t>
  </si>
  <si>
    <t>NORTHERN REGIONAL HOUSING AUTHORITY</t>
  </si>
  <si>
    <t>NORTHWEST NEW MEXICO REGIONAL SOLID WASTE AUTHORITY</t>
  </si>
  <si>
    <t>NORTHWEST REGIONAL EDUCATION COOPERATIVE #2</t>
  </si>
  <si>
    <t>NUESTROS VALORES CHARTER SCHOOL</t>
  </si>
  <si>
    <t>PECOS CONNECTIONS ACADEMY</t>
  </si>
  <si>
    <t>PECOS INDEPENDENT SCHOOLS</t>
  </si>
  <si>
    <t>PECOS VALLEY REGIONAL EDUCATION COOPERATIVE #8</t>
  </si>
  <si>
    <t>PENASCO INDEPENDENT SCHOOLS</t>
  </si>
  <si>
    <t>POJOAQUE VALLEY SCHOOLS</t>
  </si>
  <si>
    <t>PORTALES MUNICIPAL SCHOOLS</t>
  </si>
  <si>
    <t>PUBLIC ACADEMY FOR THE PERFORMING ARTS</t>
  </si>
  <si>
    <t xml:space="preserve">QUEMADO INDEPENDENT SCHOOL DISTRICT </t>
  </si>
  <si>
    <t>QUESTA INDEPENDENT SCHOOLS</t>
  </si>
  <si>
    <t>RATON HOUSING AUTHORITY</t>
  </si>
  <si>
    <t>RATON PUBLIC SCHOOLS</t>
  </si>
  <si>
    <t>RATON PUBLIC SERVICE</t>
  </si>
  <si>
    <t>RED RIVER VALLEY CHARTER SCHOOL</t>
  </si>
  <si>
    <t>REGION IX EDUCATION COOPERATIVE</t>
  </si>
  <si>
    <t>REGIONAL EDUCATION COOPERATIVE #6</t>
  </si>
  <si>
    <t>REGIONAL EDUCATION COOPERATIVE VII</t>
  </si>
  <si>
    <t>REGIONAL EMERGENCY DISPATCH AUTHORITY</t>
  </si>
  <si>
    <t>RESERVE SCHOOL DISTRICT</t>
  </si>
  <si>
    <t>RIO ARRIBA COUNTY</t>
  </si>
  <si>
    <t>RIO GALLINAS CHARTER SCHOOL</t>
  </si>
  <si>
    <t>RIO RANCHO PUBLIC SCHOOLS</t>
  </si>
  <si>
    <t>ROBERT F. KENNEDY CHARTER SCHOOL</t>
  </si>
  <si>
    <t>ROOSEVELT COUNTY</t>
  </si>
  <si>
    <t>ROOTS AND WINGS COMMUNITY SCHOOL</t>
  </si>
  <si>
    <t>ROSWELL INDEPENDENT SCHOOLS</t>
  </si>
  <si>
    <t>ROY SCHOOLS</t>
  </si>
  <si>
    <t>RUIDOSO MUNICIPAL SCHOOLS</t>
  </si>
  <si>
    <t>SAN DIEGO RIVERSIDE CHARTER SCHOOL</t>
  </si>
  <si>
    <t>SAN JON MUNICIPAL SCHOOLS</t>
  </si>
  <si>
    <t>SAN JUAN COMMUNICATIONS</t>
  </si>
  <si>
    <t>SAN JUAN COUNTY</t>
  </si>
  <si>
    <t>SAN JUAN WATER COMMISSION</t>
  </si>
  <si>
    <t>SAN MIGUEL COUNTY</t>
  </si>
  <si>
    <t>SANDOVAL ACADEMY OF BILINGUAL EDUCATION</t>
  </si>
  <si>
    <t xml:space="preserve">SANDOVAL COUNTY </t>
  </si>
  <si>
    <t>SANTA FE CIVIC HOUSING AUTHORITY</t>
  </si>
  <si>
    <t>SANTA FE COMMUNITY COLLEGE</t>
  </si>
  <si>
    <t>SANTA FE COUNTY</t>
  </si>
  <si>
    <t>SANTA FE PUBLIC SCHOOLS</t>
  </si>
  <si>
    <t>SANTA ROSA CONSOLIDATED SCHOOLS</t>
  </si>
  <si>
    <t>SCHOOL OF DREAMS ACADEMY</t>
  </si>
  <si>
    <t>SIDNEY GUTIERREZ MIDDLE SCHOOL</t>
  </si>
  <si>
    <t>SIEMBRA LEADERSHIP CHARTER SCHOOL</t>
  </si>
  <si>
    <t>SIERRA COUNTY</t>
  </si>
  <si>
    <t>SILVER CITY CONSOLIDATED SCHOOLS</t>
  </si>
  <si>
    <t>SIX DIRECTIONS INDIGENOUS SCHOOL</t>
  </si>
  <si>
    <t>SOCORRO CONSOLIDATED SCHOOLS</t>
  </si>
  <si>
    <t>SOUTH VALLEY ACADEMY</t>
  </si>
  <si>
    <t>SOUTH VALLEY PREPARATORY SCHOOL</t>
  </si>
  <si>
    <t xml:space="preserve">SOUTHERN SANDOVAL COUNTY ARROYO FLOOD CONTROL AUTHORITY </t>
  </si>
  <si>
    <t>SOUTHWEST AERONAUTICS MATH &amp; SCIENCE ACADEMY</t>
  </si>
  <si>
    <t>SOUTHWEST NEW MEXICO COUNCIL OF GOVERNMENTS</t>
  </si>
  <si>
    <t>SOUTHWEST PRIMARY LEARNING CENTER</t>
  </si>
  <si>
    <t>SOUTHWEST REGIONAL EDUCATION #10</t>
  </si>
  <si>
    <t>SOUTHWEST SECONDARY LEARNING CENTER</t>
  </si>
  <si>
    <t>SPRINGER HOUSING AUTHORITY</t>
  </si>
  <si>
    <t>SPRINGER MUNICIPAL SCHOOLS</t>
  </si>
  <si>
    <t>TAOS ACADEMY CHARTER SCHOOL</t>
  </si>
  <si>
    <t>TAOS CHARTER SCHOOL</t>
  </si>
  <si>
    <t>TAOS COUNTY</t>
  </si>
  <si>
    <t>TAOS INTEGRATED SCHOOL OF THE ARTS</t>
  </si>
  <si>
    <t>TAOS MUNICIPAL SCHOOLS</t>
  </si>
  <si>
    <t>TATUM MUNICIPAL SCHOOLS</t>
  </si>
  <si>
    <t>TECH LEADERSHIP HIGH SCHOOL</t>
  </si>
  <si>
    <t>TEXICO MUNICIPAL SCHOOLS</t>
  </si>
  <si>
    <t>THE ASK ACADEMY</t>
  </si>
  <si>
    <t>THE GREAT ACADEMY</t>
  </si>
  <si>
    <t>THE MASTERS PROGRAM</t>
  </si>
  <si>
    <t>THE NEW AMERICA SCHOOL</t>
  </si>
  <si>
    <t>THE NEW AMERICA SCHOOL - LAS CRUCES</t>
  </si>
  <si>
    <t>TIERRA ADENTRO OF NEW MEXICO</t>
  </si>
  <si>
    <t>TIERRA ENCANTADA CHARTER HIGH SCHOOL</t>
  </si>
  <si>
    <t>TIERRA Y MONTES SOIL AND WATER CONSERVATION DISTRICT</t>
  </si>
  <si>
    <t>TORRANCE COUNTY</t>
  </si>
  <si>
    <t>TOWN OF BERNALILLO</t>
  </si>
  <si>
    <t>TOWN OF EDGEWOOD</t>
  </si>
  <si>
    <t>TOWN OF ELIDA</t>
  </si>
  <si>
    <t>TOWN OF ESTANCIA</t>
  </si>
  <si>
    <t>TOWN OF SILVER CITY</t>
  </si>
  <si>
    <t>TOWN OF SPRINGER</t>
  </si>
  <si>
    <t>TOWN OF TAOS</t>
  </si>
  <si>
    <t>TOWN OF TATUM</t>
  </si>
  <si>
    <t>TRUTH OR CONSEQUENCES HOUSING AUTHORITY</t>
  </si>
  <si>
    <t>TRUTH OR CONSEQUENCES MUNICIPAL SCHOOLS</t>
  </si>
  <si>
    <t>TUCUMCARI PUBLIC SCHOOLS</t>
  </si>
  <si>
    <t>TULAROSA MUNICIPAL SCHOOLS</t>
  </si>
  <si>
    <t>TURQUOISE TRAIL CHARTER SCHOOL</t>
  </si>
  <si>
    <t>UNION COUNTY</t>
  </si>
  <si>
    <t>VALENCIA COUNTY</t>
  </si>
  <si>
    <t>VAUGHN MUNICIPAL SCHOOLS</t>
  </si>
  <si>
    <t>VILLAGE OF BOSQUE FARMS</t>
  </si>
  <si>
    <t>VILLAGE OF CHAMA</t>
  </si>
  <si>
    <t>VILLAGE OF FT SUMNER</t>
  </si>
  <si>
    <t>VILLAGE OF HATCH</t>
  </si>
  <si>
    <t xml:space="preserve">VILLAGE OF JEMEZ SPRINGS </t>
  </si>
  <si>
    <t>VILLAGE OF LOGAN</t>
  </si>
  <si>
    <t>VILLAGE OF MELROSE</t>
  </si>
  <si>
    <t>VILLAGE OF MILAN</t>
  </si>
  <si>
    <t>VILLAGE OF PECOS</t>
  </si>
  <si>
    <t>VILLAGE OF QUESTA</t>
  </si>
  <si>
    <t>VILLAGE OF RESERVE</t>
  </si>
  <si>
    <t>VILLAGE OF TIJERAS</t>
  </si>
  <si>
    <t>VISTA GRANDE CHARTER HIGH SCHOOL</t>
  </si>
  <si>
    <t>WAGON MOUND PUBLIC SCHOOLS</t>
  </si>
  <si>
    <t>WALATOWA CHARTER HIGH SCHOOL</t>
  </si>
  <si>
    <t>WEST LAS VEGAS PUBLIC SCHOOLS</t>
  </si>
  <si>
    <t>WESTERN NEW MEXICO UNIVERSITY</t>
  </si>
  <si>
    <t>WILLIAM W. &amp; JOSEPHINE DORN CHARTER SCHOOL</t>
  </si>
  <si>
    <t>ZUNI PUBLIC SCHOOLS</t>
  </si>
  <si>
    <t>Deferred Inflows of Resources</t>
  </si>
  <si>
    <t>Differences Between Expected and Actual Experience</t>
  </si>
  <si>
    <t>Net Difference Between Projected and Actual Investment Earnings on OPEB Plan Investments</t>
  </si>
  <si>
    <t>Changes of Assumptions</t>
  </si>
  <si>
    <t>Total Deferred Inflows of Resources</t>
  </si>
  <si>
    <t>Subsequent Recognition of Deferred Amounts</t>
  </si>
  <si>
    <t>Fiscal Year Ending 2023</t>
  </si>
  <si>
    <t>(16)</t>
  </si>
  <si>
    <t>Expensed portion of current-period difference between</t>
  </si>
  <si>
    <t>Expensed portion of current-period differences</t>
  </si>
  <si>
    <t xml:space="preserve">Interest on the total OPEB liability </t>
  </si>
  <si>
    <t xml:space="preserve">Actual member contributions </t>
  </si>
  <si>
    <t xml:space="preserve">Projected earnings on plan investments </t>
  </si>
  <si>
    <t>expected and actual experience in the total OPEB liability</t>
  </si>
  <si>
    <t>Expensed portion of current-period changes of assumptions</t>
  </si>
  <si>
    <t xml:space="preserve">or other inputs </t>
  </si>
  <si>
    <t>between actual and projected earnings on plan investments</t>
  </si>
  <si>
    <t xml:space="preserve">Year of </t>
  </si>
  <si>
    <t>Deferral</t>
  </si>
  <si>
    <t>Amortization</t>
  </si>
  <si>
    <t>Period</t>
  </si>
  <si>
    <t>Beginning</t>
  </si>
  <si>
    <t>Balance</t>
  </si>
  <si>
    <t xml:space="preserve">Changes of assumptions or other inputs </t>
  </si>
  <si>
    <t xml:space="preserve">Difference between expected and actual </t>
  </si>
  <si>
    <t>experience in the total OPEB liability</t>
  </si>
  <si>
    <t>earnings on plan investments</t>
  </si>
  <si>
    <t>Total deferred inflows of resources</t>
  </si>
  <si>
    <t>Current Year</t>
  </si>
  <si>
    <t>Changes</t>
  </si>
  <si>
    <t>Ending</t>
  </si>
  <si>
    <t xml:space="preserve">Total </t>
  </si>
  <si>
    <t>1-Percent Decrease</t>
  </si>
  <si>
    <t>1-Percent Increase</t>
  </si>
  <si>
    <t>(17)</t>
  </si>
  <si>
    <t>(18)</t>
  </si>
  <si>
    <t>(19)</t>
  </si>
  <si>
    <t>(20)</t>
  </si>
  <si>
    <t xml:space="preserve"> </t>
  </si>
  <si>
    <t>Actuarial cost method</t>
  </si>
  <si>
    <t>Entry age normal, level percent of pay,</t>
  </si>
  <si>
    <t>calculated on individual employee basis</t>
  </si>
  <si>
    <t>Asset valuation method</t>
  </si>
  <si>
    <t>Market value of assets</t>
  </si>
  <si>
    <t>Actuarial assumptions:</t>
  </si>
  <si>
    <t>Inflation</t>
  </si>
  <si>
    <t>Investment rate of return</t>
  </si>
  <si>
    <t>and margin for adverse deviation including inflation</t>
  </si>
  <si>
    <t>8% graded down to 4.5% over 14 years for Non-</t>
  </si>
  <si>
    <t>Medicare medical plan costs and 7.5% graded down</t>
  </si>
  <si>
    <t>Total OPEB liability</t>
  </si>
  <si>
    <t>Plan fiduciary net position</t>
  </si>
  <si>
    <t>Net OPEB liability</t>
  </si>
  <si>
    <t xml:space="preserve">Plan fiduciary net position as a percentage of </t>
  </si>
  <si>
    <t>the total OPEB liability (funded status)</t>
  </si>
  <si>
    <t>Asset Class</t>
  </si>
  <si>
    <t>Rate of Return</t>
  </si>
  <si>
    <t xml:space="preserve">U.S. core fixed income </t>
  </si>
  <si>
    <t xml:space="preserve">U.S. equity - large cap </t>
  </si>
  <si>
    <t>Non U.S. - emerging markets</t>
  </si>
  <si>
    <t>Non U.S. - developed equities</t>
  </si>
  <si>
    <t>Private equity</t>
  </si>
  <si>
    <t>Credit and structured finance</t>
  </si>
  <si>
    <t>Real estate</t>
  </si>
  <si>
    <t>Absolute return</t>
  </si>
  <si>
    <t>U.S. equity - small/mid cap</t>
  </si>
  <si>
    <t>Long-Term</t>
  </si>
  <si>
    <t>1% Decrease</t>
  </si>
  <si>
    <t>Current Discount</t>
  </si>
  <si>
    <t>1% Increase</t>
  </si>
  <si>
    <t>Current Trend</t>
  </si>
  <si>
    <t>Rates</t>
  </si>
  <si>
    <t>Projected payroll increases</t>
  </si>
  <si>
    <t>Health care cost trend rate</t>
  </si>
  <si>
    <t>Deferred Inflows</t>
  </si>
  <si>
    <t>Deferred Outflows</t>
  </si>
  <si>
    <t>Total</t>
  </si>
  <si>
    <t>Mortality</t>
  </si>
  <si>
    <t>Target</t>
  </si>
  <si>
    <t>Allocation</t>
  </si>
  <si>
    <t>Deferred Outflows of Resources</t>
  </si>
  <si>
    <t>Changes in Proportion</t>
  </si>
  <si>
    <t>Total Deferred Outflows of Resources</t>
  </si>
  <si>
    <t>NOL &amp; Deferred Amounts</t>
  </si>
  <si>
    <t>nol py</t>
  </si>
  <si>
    <t>def inflows py</t>
  </si>
  <si>
    <t xml:space="preserve">OPEB Expense </t>
  </si>
  <si>
    <t>Deferred Amounts</t>
  </si>
  <si>
    <t>Check</t>
  </si>
  <si>
    <t>Do not print</t>
  </si>
  <si>
    <t>O-05.02</t>
  </si>
  <si>
    <t>Non Employer Specific Amounts</t>
  </si>
  <si>
    <t>Don't update</t>
  </si>
  <si>
    <t>Recognition of beginning of year deferred inflows of resources</t>
  </si>
  <si>
    <t>Net Amortization of Deferred Amounts from Changes in Proportion</t>
  </si>
  <si>
    <t>New Mexico Retiree Health Care Authority</t>
  </si>
  <si>
    <t>Schedule of Employer Allocations</t>
  </si>
  <si>
    <t>Schedule of OPEB Amounts by Employer</t>
  </si>
  <si>
    <t>Schedule of Deferred OPEB Amortization by Employer</t>
  </si>
  <si>
    <t>Net OPEB Liability Sensitivity by Employer - Discount Rate</t>
  </si>
  <si>
    <t>Net OPEB Liability Sensitivity by Employer - Trend Rate</t>
  </si>
  <si>
    <t>OPEB Expense (Income)</t>
  </si>
  <si>
    <t>Total Employer OPEB Expense (Income)</t>
  </si>
  <si>
    <t>Proportionate Share of Plan OPEB Expense (Income)</t>
  </si>
  <si>
    <t>to 4.5% over 12 years for Medicare medical plan costs</t>
  </si>
  <si>
    <t>including inflation</t>
  </si>
  <si>
    <t>Remaining</t>
  </si>
  <si>
    <t>Net OPEB income</t>
  </si>
  <si>
    <t xml:space="preserve">Service cost </t>
  </si>
  <si>
    <t>as OPEB income</t>
  </si>
  <si>
    <t>Administrative expense and other changes in fiduciary net position</t>
  </si>
  <si>
    <t>ACADEMY OF TRADES AND TECHNOLOGY*</t>
  </si>
  <si>
    <t>ALBUQUERQUE COLLEGIATE</t>
  </si>
  <si>
    <t>ALBUQUERQUE METROPOLITAN ARROYO FLOOD CONTROL AUTHORITY</t>
  </si>
  <si>
    <t>ALTURA PREP</t>
  </si>
  <si>
    <t>HOZHO ACADEMY</t>
  </si>
  <si>
    <t>MID-REGION COUNCIL OF GOVERNMENTS</t>
  </si>
  <si>
    <t>SOLARE COLLEGIATE CHARTER</t>
  </si>
  <si>
    <t>STUDENT ATHLETE HEADQUARTERS ACADEMY*</t>
  </si>
  <si>
    <t>NEW MEXICO VIRTUAL ACADEMY*</t>
  </si>
  <si>
    <t>LA RESOLANA LEADERSHIP ACADEMY*</t>
  </si>
  <si>
    <t>CARINOS CHARTER SCHOOL*</t>
  </si>
  <si>
    <t>ANTHONY CHARTER SCHOOL*</t>
  </si>
  <si>
    <t>SAGE MONTESSORI CHARTER SCHOOL **</t>
  </si>
  <si>
    <t>SOUTHWEST INTERMEDIATE LEARNING CENTER **</t>
  </si>
  <si>
    <t>UPLIFT COMMUNITY SCHOOL **</t>
  </si>
  <si>
    <t>Current Discount Rate</t>
  </si>
  <si>
    <t>(21)</t>
  </si>
  <si>
    <t>(22)</t>
  </si>
  <si>
    <t>(24)</t>
  </si>
  <si>
    <t>Fiscal Year Ending 2024</t>
  </si>
  <si>
    <t>Valuation date</t>
  </si>
  <si>
    <t>RAICES DEL SABER XINACHTLI COMMUNITY SCHOOL</t>
  </si>
  <si>
    <t>Expensed</t>
  </si>
  <si>
    <t>Deferred in Current Year</t>
  </si>
  <si>
    <t>Fiscal Year Ending 2025</t>
  </si>
  <si>
    <t>(25)</t>
  </si>
  <si>
    <t>Total deferred outflows of resources</t>
  </si>
  <si>
    <t xml:space="preserve">ALBUQUERQUE INSTITUTE FOR MATHEMATICS AND SCIENCE </t>
  </si>
  <si>
    <t>TAOS INTERNATIONAL SCHOOL</t>
  </si>
  <si>
    <t>2021 Employer Contributions</t>
  </si>
  <si>
    <t>ACES TECHNICAL CHARTER SCHOOL</t>
  </si>
  <si>
    <t>ALBUQUERQUE BILINGUAL ACADEMY</t>
  </si>
  <si>
    <t>LAS CRUCES PUBLIC SCHOOLS</t>
  </si>
  <si>
    <t>MARK ARMIJO ACADEMY</t>
  </si>
  <si>
    <t>SANDOVAL COUNTY</t>
  </si>
  <si>
    <t>SANTA FE SOLID WASTE MANAGEMENT AGENCY</t>
  </si>
  <si>
    <t xml:space="preserve">SIERRA COUNTY </t>
  </si>
  <si>
    <t>VOZ COLLEGIATE PREP</t>
  </si>
  <si>
    <t>LINDRITH AREA HERITAGE SCHOOL*</t>
  </si>
  <si>
    <t>Fiscal Year Ending 2026</t>
  </si>
  <si>
    <t>Employer Allocation Percentage 2021</t>
  </si>
  <si>
    <t>Employer Year 2022</t>
  </si>
  <si>
    <t>June 30, 2021</t>
  </si>
  <si>
    <t>2.30% for ERB members; 2.50% for PERA members</t>
  </si>
  <si>
    <t xml:space="preserve">3.25% to 13.00%, based on years of service, </t>
  </si>
  <si>
    <t xml:space="preserve">7.00%, net of OPEB plan investment expense </t>
  </si>
  <si>
    <t xml:space="preserve">ERB members: 2020 GRS Southwest Region Teacher 
</t>
  </si>
  <si>
    <t>projected generationally with Scale MP-2017 times 60%.</t>
  </si>
  <si>
    <t xml:space="preserve">PERA members: Headcount-Weighted RP-2014 Blue Collar </t>
  </si>
  <si>
    <t>Annuitant Mortality, set forward one year for females,</t>
  </si>
  <si>
    <t>Mortality Table, set back one year (and scaled at 95% for</t>
  </si>
  <si>
    <t>(3.62%)</t>
  </si>
  <si>
    <t>(4.62%)</t>
  </si>
  <si>
    <t>(2.62%)</t>
  </si>
  <si>
    <t>Recognition of beginning of year deferred outflows of resources</t>
  </si>
  <si>
    <t>O Section Report</t>
  </si>
  <si>
    <t>Schedules</t>
  </si>
  <si>
    <t>Variance due to actuarial experience difference noted in 2019</t>
  </si>
  <si>
    <t>males). Generational mortality improvements in accordance</t>
  </si>
  <si>
    <t>with the Ultimate MP scales are projected from the year 2020.</t>
  </si>
  <si>
    <t>(26)</t>
  </si>
  <si>
    <t xml:space="preserve">Difference between actual and projected </t>
  </si>
  <si>
    <t>Please enter information in the blue boxes below.</t>
  </si>
  <si>
    <t>Employer Number</t>
  </si>
  <si>
    <t>Employer Name</t>
  </si>
  <si>
    <t>1. Please input the employer number</t>
  </si>
  <si>
    <t>Contributions</t>
  </si>
  <si>
    <t>Employer's General Ledger</t>
  </si>
  <si>
    <t>Covered payroll</t>
  </si>
  <si>
    <t>Employer's General Ledger for payroll of the employees</t>
  </si>
  <si>
    <t xml:space="preserve">   that are provided with OPEB  through NMRHCA</t>
  </si>
  <si>
    <t>Employer's Prior Year Financial Statements</t>
  </si>
  <si>
    <t>Employer Amounts</t>
  </si>
  <si>
    <t>Amount</t>
  </si>
  <si>
    <t>Reference</t>
  </si>
  <si>
    <t>Schedule of Employer Allocation</t>
  </si>
  <si>
    <t>Total OPEB Expense (Income)</t>
  </si>
  <si>
    <t>Ending Net OPEB Liability</t>
  </si>
  <si>
    <t>4. Record the net change Net OPEB Liability (Debit = positive amounts):</t>
  </si>
  <si>
    <t>Net OPEB Liability</t>
  </si>
  <si>
    <t>Rounding Impact to OPEB Expense (Income)</t>
  </si>
  <si>
    <t xml:space="preserve">Note: this is the rounding impact and </t>
  </si>
  <si>
    <t xml:space="preserve">difference between NMRHCA contributions </t>
  </si>
  <si>
    <t>and Employer's contributions</t>
  </si>
  <si>
    <t>5. Record current year contributions to Deferred Outflows:</t>
  </si>
  <si>
    <t>RHCA Contributions Expense</t>
  </si>
  <si>
    <t>6. The information below might be useful for footnote disclosures.</t>
  </si>
  <si>
    <t>Discount Rate Sensitivity Analysis</t>
  </si>
  <si>
    <t>Trend Rate Sensitivity Analysis</t>
  </si>
  <si>
    <t>Balances of Deferred Amounts</t>
  </si>
  <si>
    <t xml:space="preserve">Net Difference Between Projected and </t>
  </si>
  <si>
    <t>Actual Investment Earnings on OPEB</t>
  </si>
  <si>
    <t>Plan Investments</t>
  </si>
  <si>
    <t>Change in Proportion</t>
  </si>
  <si>
    <t>Contributions made after the</t>
  </si>
  <si>
    <t>measurement date</t>
  </si>
  <si>
    <t xml:space="preserve">Differences Between Expected and </t>
  </si>
  <si>
    <t>Actual Experience</t>
  </si>
  <si>
    <t>Year</t>
  </si>
  <si>
    <t>Amortization of Deferred Amounts by Employer</t>
  </si>
  <si>
    <t>Required Supplementary Information</t>
  </si>
  <si>
    <t>SCHEDULE OF EMPLOYER'S PROPORTIONATE SHARE OF THE NET OPEB LIABILITY</t>
  </si>
  <si>
    <t>Employer's proportion of the net OPEB</t>
  </si>
  <si>
    <t>liability</t>
  </si>
  <si>
    <t>Employer's proportionate share of the</t>
  </si>
  <si>
    <t xml:space="preserve"> net OPEB liability</t>
  </si>
  <si>
    <t>Employer covered payroll</t>
  </si>
  <si>
    <t>multiplied by Employer's proportion</t>
  </si>
  <si>
    <t xml:space="preserve">Employer's proportionate share of the </t>
  </si>
  <si>
    <t>net OPEB liability as a percentage of</t>
  </si>
  <si>
    <t>its covered payroll</t>
  </si>
  <si>
    <t>Calculation</t>
  </si>
  <si>
    <t>Plan fiduciary net position as a</t>
  </si>
  <si>
    <t>percentage of the total OPEB</t>
  </si>
  <si>
    <t>SCHEDULE OF EMPLOYER'S CONTRIBUTIONS</t>
  </si>
  <si>
    <t>Contractually required contribution</t>
  </si>
  <si>
    <t>Contributions in relation to the</t>
  </si>
  <si>
    <t>contractually required contribution</t>
  </si>
  <si>
    <t>Contribution deficiency (excess)</t>
  </si>
  <si>
    <t>Employer's covered payroll</t>
  </si>
  <si>
    <t>of employees that are provided with OPEB through NMRHCA's OPEB plan.</t>
  </si>
  <si>
    <t>Contributions as a percentage of</t>
  </si>
  <si>
    <t>covered payroll</t>
  </si>
  <si>
    <t>For the Year Ended June 30, 2022</t>
  </si>
  <si>
    <t>2022 Employer Contributions</t>
  </si>
  <si>
    <t>EXPLORE LAS CRUCES</t>
  </si>
  <si>
    <t>RIO GRANDE ACADEMY OF FINE ARTS</t>
  </si>
  <si>
    <t xml:space="preserve">THRIVE COMMUNITY SCHOOL </t>
  </si>
  <si>
    <t>As of and for the Year Ended June 30, 2022</t>
  </si>
  <si>
    <t>Net OPEB Liability
June 30, 2022</t>
  </si>
  <si>
    <t>RATON HOUSING AUTHORITY *</t>
  </si>
  <si>
    <t>NORTHERN REGIONAL HOUSING AUTHORITY *</t>
  </si>
  <si>
    <t>LINDRITH AREA HERITAGE SCHOOL**</t>
  </si>
  <si>
    <t>STUDENT ATHLETE HEADQUARTERS ACADEMY ***</t>
  </si>
  <si>
    <t>NEW MEXICO VIRTUAL ACADEMY ***</t>
  </si>
  <si>
    <t>LA RESOLANA LEADERSHIP ACADEMY ***</t>
  </si>
  <si>
    <t>CARINOS CHARTER SCHOOL ***</t>
  </si>
  <si>
    <t>ANTHONY CHARTER SCHOOL ***</t>
  </si>
  <si>
    <t>ACADEMY OF TRADES AND TECHNOLOGY ***</t>
  </si>
  <si>
    <t>SAGE MONTESSORI CHARTER SCHOOL ****</t>
  </si>
  <si>
    <t>SOUTHWEST INTERMEDIATE LEARNING CENTER ****</t>
  </si>
  <si>
    <t>UPLIFT COMMUNITY SCHOOL ****</t>
  </si>
  <si>
    <t>* Zero Share in 2022</t>
  </si>
  <si>
    <t>** Zero Share in 2021</t>
  </si>
  <si>
    <t>*** Zero Share in 2019</t>
  </si>
  <si>
    <t>**** Zero Share in 2018</t>
  </si>
  <si>
    <t>June 30, 2022</t>
  </si>
  <si>
    <t>Fiscal Year Ending 2027</t>
  </si>
  <si>
    <t>THRIVE COMMUNITY SCHOOL</t>
  </si>
  <si>
    <t>1-Percent Decrease (4.42%)</t>
  </si>
  <si>
    <t>Current Discount Rate (5.42%)</t>
  </si>
  <si>
    <t>1-Percent Increase (6.42%)</t>
  </si>
  <si>
    <t>(23)</t>
  </si>
  <si>
    <t>Current Trend Rates</t>
  </si>
  <si>
    <t>Employer Year 2023</t>
  </si>
  <si>
    <t>Expense in 2023</t>
  </si>
  <si>
    <t>Deferred Amounts - 2023</t>
  </si>
  <si>
    <t>Employer Allocation Percentage 2022</t>
  </si>
  <si>
    <t xml:space="preserve">ALBUQUERQUE INSTITUTE FOR MATHMATICS AND SCIENCE </t>
  </si>
  <si>
    <t xml:space="preserve">RATON HOUSING AUTHORITY </t>
  </si>
  <si>
    <t>A-150, pg 16</t>
  </si>
  <si>
    <t>def outflows py</t>
  </si>
  <si>
    <t>Plan membership</t>
  </si>
  <si>
    <t>Current retirees and surviving spouses</t>
  </si>
  <si>
    <t>Inactive and eligible for deferred benefit</t>
  </si>
  <si>
    <t>Current active members</t>
  </si>
  <si>
    <t>Active membership</t>
  </si>
  <si>
    <t>State general</t>
  </si>
  <si>
    <t>State police and corrections</t>
  </si>
  <si>
    <t>Municipal general</t>
  </si>
  <si>
    <t>Municipal police</t>
  </si>
  <si>
    <t>Municipal FTRE</t>
  </si>
  <si>
    <t>Educational Retirement Board</t>
  </si>
  <si>
    <t>(4.42%)</t>
  </si>
  <si>
    <t>(5.42%)</t>
  </si>
  <si>
    <t>(6.42%)</t>
  </si>
  <si>
    <t>2. Please enter the contributions expensed from July 1, 2022 to June 30, 2023:</t>
  </si>
  <si>
    <t>3. Please enter the contributions deferred from July 1, 2021 to June 30, 2022 (Deferred Outflow):</t>
  </si>
  <si>
    <t>2022 Employer Allocation %</t>
  </si>
  <si>
    <t>Covered payroll disclosed in audited FS ($4,745,115,641 page 33 (A-151))</t>
  </si>
  <si>
    <t>NMRHCA Audited FS page 33</t>
  </si>
  <si>
    <t>As of and for the Year Ended June 30, 2021</t>
  </si>
  <si>
    <t>Net OPEB Liability
June 30, 2021</t>
  </si>
  <si>
    <t>STUDENT ATHLETE HEADQUARTERS ACADEMY **</t>
  </si>
  <si>
    <t>NEW MEXICO VIRTUAL ACADEMY **</t>
  </si>
  <si>
    <t>LA RESOLANA LEADERSHIP ACADEMY **</t>
  </si>
  <si>
    <t>CARINOS CHARTER SCHOOL **</t>
  </si>
  <si>
    <t>ANTHONY CHARTER SCHOOL **</t>
  </si>
  <si>
    <t>ACADEMY OF TRADES AND TECHNOLOGY **</t>
  </si>
  <si>
    <t>SAGE MONTESSORI CHARTER SCHOOL ***</t>
  </si>
  <si>
    <t>SOUTHWEST INTERMEDIATE LEARNING CENTER ***</t>
  </si>
  <si>
    <t>UPLIFT COMMUNITY SCHOOL ***</t>
  </si>
  <si>
    <t>* Zero Share in 2021</t>
  </si>
  <si>
    <t>** Zero Share in 2019</t>
  </si>
  <si>
    <t>*** Zero Share in 2018</t>
  </si>
  <si>
    <t xml:space="preserve">Covered payroll for the fiscal year ended June 30, 2023 in other words the payroll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</si>
</sst>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"/>
    <numFmt numFmtId="166" formatCode="0.00000%"/>
    <numFmt numFmtId="167" formatCode="_(* #,##0_);_(* \(#,##0\);_(* &quot;-&quot;??_);_(@_)"/>
    <numFmt numFmtId="168" formatCode="\(#\);\(#\);;"/>
    <numFmt numFmtId="169" formatCode="0_);\(0\)"/>
    <numFmt numFmtId="170" formatCode="0.000000%"/>
    <numFmt numFmtId="171" formatCode="0.0000000%"/>
    <numFmt numFmtId="172" formatCode="0.00000000%"/>
    <numFmt numFmtId="173" formatCode="0.000000000%"/>
    <numFmt numFmtId="174" formatCode="0.0%"/>
    <numFmt numFmtId="175" formatCode="0.0000%"/>
    <numFmt numFmtId="176" formatCode="_(&quot;$&quot;* #,##0_);_(&quot;$&quot;* \(#,##0\);_(&quot;$&quot;* &quot;-&quot;??_);_(@_)"/>
    <numFmt numFmtId="177" formatCode="General_)"/>
    <numFmt numFmtId="178" formatCode="mmmm\ d\,\ yyyy"/>
    <numFmt numFmtId="179" formatCode="_(* #,##0.00&quot;%&quot;;_(* \(#,##0.00&quot;%&quot;\);_(* &quot;--%&quot;_);_(@_)"/>
    <numFmt numFmtId="180" formatCode="_(* #,##0.00_%;_(* \(#,##0.00\)__;_(* &quot;--&quot;_%;_(@_)"/>
    <numFmt numFmtId="181" formatCode="_(* #,##0_);_(* \(#,##0\);_(* &quot;--&quot;_);_(@_)"/>
    <numFmt numFmtId="182" formatCode="_(* #,##0.00&quot;%&quot;;_(* \(#,##0.00\)%;_(* &quot;-&quot;_);_(@_)"/>
    <numFmt numFmtId="183" formatCode="#.00"/>
    <numFmt numFmtId="184" formatCode="#,##0."/>
    <numFmt numFmtId="185" formatCode="&quot;$&quot;#."/>
    <numFmt numFmtId="186" formatCode="yyyy"/>
    <numFmt numFmtId="187" formatCode="000\-00\-0000"/>
    <numFmt numFmtId="188" formatCode="#,##0_);\(#,##0\);\-"/>
    <numFmt numFmtId="189" formatCode="0;0;\-"/>
    <numFmt numFmtId="190" formatCode="_(* #,##0.00&quot;%&quot;;_(* \(#,##0.00\);_(* &quot;-&quot;_);_(@_)"/>
    <numFmt numFmtId="191" formatCode="#,###_)_%;\(#,###\)_%"/>
    <numFmt numFmtId="192" formatCode="_._.* #,##0.0_)_%;_._.* \(#,##0.0\)_%"/>
    <numFmt numFmtId="193" formatCode="_._.* #,##0.00_)_%;_._.* \(#,##0.00\)_%"/>
    <numFmt numFmtId="194" formatCode="_._.&quot;$&quot;* #,##0.00_)_%;_._.&quot;$&quot;* \(#,##0.00\)_%"/>
    <numFmt numFmtId="195" formatCode="_._._(* 0_)%;_._.* \(0\)%"/>
    <numFmt numFmtId="196" formatCode="_(0.0_)%;\(0.0\)%"/>
    <numFmt numFmtId="197" formatCode="#,##0_);\(#,##0\);;"/>
    <numFmt numFmtId="198" formatCode="0.000000000000000%"/>
    <numFmt numFmtId="199" formatCode="0.0000000000000000E+00"/>
    <numFmt numFmtId="200" formatCode="_(* #,##0.00%_);[Red]_(* \(#,##0.00%\);_(0.00%_);@"/>
    <numFmt numFmtId="201" formatCode="mm/dd/yyyy"/>
    <numFmt numFmtId="202" formatCode="#,##0.00;\-#,##0.00;0.00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3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sz val="10.5"/>
      <name val="Cambria"/>
      <family val="1"/>
    </font>
    <font>
      <sz val="11"/>
      <name val="Garamond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Times New Roman"/>
      <family val="1"/>
    </font>
    <font>
      <b/>
      <sz val="16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u/>
      <sz val="10"/>
      <name val="Arial Narrow"/>
      <family val="2"/>
    </font>
    <font>
      <sz val="9"/>
      <name val="CG Omega"/>
      <family val="2"/>
    </font>
    <font>
      <sz val="11"/>
      <name val="Arial Narrow"/>
      <family val="2"/>
    </font>
    <font>
      <sz val="9"/>
      <name val="Garamond"/>
      <family val="1"/>
    </font>
    <font>
      <b/>
      <sz val="11"/>
      <name val="Arial Narrow"/>
      <family val="2"/>
    </font>
    <font>
      <sz val="9"/>
      <name val="Arial Narrow"/>
      <family val="2"/>
    </font>
    <font>
      <sz val="9.5"/>
      <name val="Arial Narrow"/>
      <family val="2"/>
    </font>
    <font>
      <sz val="14"/>
      <name val="Univers Condensed"/>
      <family val="2"/>
    </font>
    <font>
      <sz val="10"/>
      <name val="Garamond"/>
      <family val="1"/>
    </font>
    <font>
      <sz val="7"/>
      <name val="Garamond"/>
      <family val="1"/>
    </font>
    <font>
      <sz val="10"/>
      <name val="CG Omega"/>
      <family val="2"/>
    </font>
    <font>
      <b/>
      <sz val="12"/>
      <name val="Garamond"/>
      <family val="1"/>
    </font>
    <font>
      <b/>
      <i/>
      <sz val="11"/>
      <name val="Garamond"/>
      <family val="1"/>
    </font>
    <font>
      <sz val="12"/>
      <name val="Univers Condensed"/>
      <family val="2"/>
    </font>
    <font>
      <b/>
      <sz val="14"/>
      <name val="Univers Condensed"/>
      <family val="2"/>
    </font>
    <font>
      <sz val="8"/>
      <name val="CG Omega"/>
      <family val="2"/>
    </font>
    <font>
      <sz val="18"/>
      <name val="Garamond"/>
      <family val="1"/>
    </font>
    <font>
      <b/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9"/>
      <name val="Franklin Gothic Medium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.5"/>
      <name val="Cambri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sz val="10"/>
      <name val="Arial Unicode M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sz val="10.5"/>
      <color theme="1"/>
      <name val="Cambria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b/>
      <sz val="10"/>
      <color rgb="FF0000FF"/>
      <name val="Arial"/>
      <family val="2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"/>
      <family val="1"/>
    </font>
    <font>
      <b/>
      <sz val="8"/>
      <color rgb="FF000000"/>
      <name val="Times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indexed="12"/>
      <name val="Arial"/>
      <family val="2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C00000"/>
      <name val="Cambria"/>
      <family val="1"/>
    </font>
    <font>
      <b/>
      <sz val="10"/>
      <color rgb="FF000000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C0C0C0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</borders>
  <cellStyleXfs count="1934">
    <xf numFmtId="0" fontId="0" fillId="0" borderId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6" fillId="42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0" fontId="76" fillId="43" borderId="0" applyNumberFormat="0" applyBorder="0" applyAlignment="0" applyProtection="0"/>
    <xf numFmtId="0" fontId="5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7" borderId="0" applyNumberFormat="0" applyBorder="0" applyAlignment="0" applyProtection="0"/>
    <xf numFmtId="0" fontId="76" fillId="4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76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76" fillId="46" borderId="0" applyNumberFormat="0" applyBorder="0" applyAlignment="0" applyProtection="0"/>
    <xf numFmtId="0" fontId="5" fillId="2" borderId="0" applyNumberFormat="0" applyBorder="0" applyAlignment="0" applyProtection="0"/>
    <xf numFmtId="0" fontId="5" fillId="19" borderId="0" applyNumberFormat="0" applyBorder="0" applyAlignment="0" applyProtection="0"/>
    <xf numFmtId="0" fontId="5" fillId="2" borderId="0" applyNumberFormat="0" applyBorder="0" applyAlignment="0" applyProtection="0"/>
    <xf numFmtId="0" fontId="5" fillId="19" borderId="0" applyNumberFormat="0" applyBorder="0" applyAlignment="0" applyProtection="0"/>
    <xf numFmtId="0" fontId="76" fillId="47" borderId="0" applyNumberFormat="0" applyBorder="0" applyAlignment="0" applyProtection="0"/>
    <xf numFmtId="0" fontId="5" fillId="7" borderId="0" applyNumberFormat="0" applyBorder="0" applyAlignment="0" applyProtection="0"/>
    <xf numFmtId="0" fontId="5" fillId="21" borderId="0" applyNumberFormat="0" applyBorder="0" applyAlignment="0" applyProtection="0"/>
    <xf numFmtId="0" fontId="5" fillId="7" borderId="0" applyNumberFormat="0" applyBorder="0" applyAlignment="0" applyProtection="0"/>
    <xf numFmtId="0" fontId="5" fillId="21" borderId="0" applyNumberFormat="0" applyBorder="0" applyAlignment="0" applyProtection="0"/>
    <xf numFmtId="0" fontId="76" fillId="4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76" fillId="49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76" fillId="50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6" fillId="51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76" fillId="52" borderId="0" applyNumberFormat="0" applyBorder="0" applyAlignment="0" applyProtection="0"/>
    <xf numFmtId="0" fontId="5" fillId="19" borderId="0" applyNumberFormat="0" applyBorder="0" applyAlignment="0" applyProtection="0"/>
    <xf numFmtId="0" fontId="76" fillId="53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40" fontId="67" fillId="0" borderId="1">
      <alignment horizontal="right"/>
    </xf>
    <xf numFmtId="0" fontId="66" fillId="0" borderId="0">
      <alignment horizontal="left"/>
    </xf>
    <xf numFmtId="40" fontId="2" fillId="0" borderId="0"/>
    <xf numFmtId="0" fontId="66" fillId="0" borderId="0">
      <alignment horizontal="left"/>
    </xf>
    <xf numFmtId="0" fontId="67" fillId="0" borderId="0">
      <alignment horizontal="right"/>
      <protection locked="0"/>
    </xf>
    <xf numFmtId="200" fontId="67" fillId="0" borderId="1">
      <alignment horizontal="right"/>
    </xf>
    <xf numFmtId="40" fontId="67" fillId="0" borderId="0">
      <alignment horizontal="right"/>
    </xf>
    <xf numFmtId="40" fontId="2" fillId="0" borderId="0">
      <alignment horizontal="right"/>
    </xf>
    <xf numFmtId="40" fontId="77" fillId="0" borderId="0">
      <alignment horizontal="right"/>
    </xf>
    <xf numFmtId="0" fontId="2" fillId="0" borderId="0">
      <alignment horizontal="left"/>
    </xf>
    <xf numFmtId="40" fontId="2" fillId="0" borderId="0"/>
    <xf numFmtId="0" fontId="2" fillId="0" borderId="0">
      <alignment horizontal="left"/>
    </xf>
    <xf numFmtId="0" fontId="2" fillId="0" borderId="0">
      <protection locked="0"/>
    </xf>
    <xf numFmtId="200" fontId="2" fillId="0" borderId="0">
      <alignment horizontal="right"/>
    </xf>
    <xf numFmtId="0" fontId="2" fillId="0" borderId="0"/>
    <xf numFmtId="40" fontId="68" fillId="27" borderId="0">
      <alignment horizontal="right" vertical="center"/>
    </xf>
    <xf numFmtId="40" fontId="68" fillId="27" borderId="0">
      <alignment horizontal="left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0" fontId="68" fillId="27" borderId="0">
      <alignment horizontal="right" vertical="center"/>
      <protection locked="0"/>
    </xf>
    <xf numFmtId="40" fontId="68" fillId="27" borderId="0">
      <alignment horizontal="right" vertical="center"/>
    </xf>
    <xf numFmtId="40" fontId="68" fillId="27" borderId="0">
      <alignment horizontal="right"/>
    </xf>
    <xf numFmtId="40" fontId="68" fillId="27" borderId="0">
      <alignment horizontal="center" vertical="center"/>
    </xf>
    <xf numFmtId="40" fontId="2" fillId="0" borderId="0"/>
    <xf numFmtId="0" fontId="2" fillId="0" borderId="0">
      <alignment horizontal="left"/>
    </xf>
    <xf numFmtId="40" fontId="2" fillId="0" borderId="0"/>
    <xf numFmtId="40" fontId="2" fillId="0" borderId="0">
      <alignment horizontal="center" vertical="center"/>
    </xf>
    <xf numFmtId="0" fontId="2" fillId="0" borderId="0"/>
    <xf numFmtId="200" fontId="2" fillId="0" borderId="0">
      <alignment horizontal="right"/>
    </xf>
    <xf numFmtId="40" fontId="2" fillId="0" borderId="0"/>
    <xf numFmtId="40" fontId="68" fillId="27" borderId="0">
      <alignment horizontal="center" vertical="center"/>
    </xf>
    <xf numFmtId="40" fontId="68" fillId="27" borderId="0">
      <alignment horizontal="center" vertical="center"/>
    </xf>
    <xf numFmtId="200" fontId="68" fillId="27" borderId="0">
      <alignment horizontal="center" vertical="center"/>
    </xf>
    <xf numFmtId="40" fontId="68" fillId="27" borderId="0">
      <alignment horizontal="right"/>
    </xf>
    <xf numFmtId="40" fontId="67" fillId="0" borderId="2">
      <alignment horizontal="right"/>
    </xf>
    <xf numFmtId="0" fontId="66" fillId="0" borderId="0">
      <alignment horizontal="left"/>
    </xf>
    <xf numFmtId="40" fontId="2" fillId="0" borderId="0"/>
    <xf numFmtId="0" fontId="66" fillId="0" borderId="0">
      <alignment horizontal="left"/>
    </xf>
    <xf numFmtId="0" fontId="67" fillId="0" borderId="0">
      <alignment horizontal="right"/>
      <protection locked="0"/>
    </xf>
    <xf numFmtId="200" fontId="67" fillId="0" borderId="2">
      <alignment horizontal="right"/>
    </xf>
    <xf numFmtId="40" fontId="67" fillId="0" borderId="0">
      <alignment horizontal="right"/>
    </xf>
    <xf numFmtId="41" fontId="24" fillId="0" borderId="0"/>
    <xf numFmtId="9" fontId="24" fillId="0" borderId="0">
      <alignment horizontal="center"/>
    </xf>
    <xf numFmtId="0" fontId="78" fillId="54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40" fontId="2" fillId="0" borderId="0"/>
    <xf numFmtId="40" fontId="2" fillId="0" borderId="0"/>
    <xf numFmtId="0" fontId="79" fillId="55" borderId="20" applyNumberFormat="0" applyAlignment="0" applyProtection="0"/>
    <xf numFmtId="0" fontId="50" fillId="8" borderId="3" applyNumberFormat="0" applyAlignment="0" applyProtection="0"/>
    <xf numFmtId="0" fontId="7" fillId="12" borderId="3" applyNumberFormat="0" applyAlignment="0" applyProtection="0"/>
    <xf numFmtId="0" fontId="50" fillId="8" borderId="3" applyNumberFormat="0" applyAlignment="0" applyProtection="0"/>
    <xf numFmtId="0" fontId="7" fillId="12" borderId="3" applyNumberFormat="0" applyAlignment="0" applyProtection="0"/>
    <xf numFmtId="44" fontId="3" fillId="0" borderId="0" applyFill="0" applyBorder="0" applyProtection="0"/>
    <xf numFmtId="0" fontId="38" fillId="0" borderId="0" applyFill="0" applyBorder="0" applyProtection="0">
      <alignment horizontal="right" wrapText="1"/>
    </xf>
    <xf numFmtId="0" fontId="37" fillId="0" borderId="0" applyNumberFormat="0" applyFill="0" applyBorder="0" applyProtection="0"/>
    <xf numFmtId="43" fontId="3" fillId="0" borderId="0" applyFill="0" applyBorder="0" applyProtection="0"/>
    <xf numFmtId="178" fontId="39" fillId="0" borderId="0" applyFill="0" applyBorder="0" applyProtection="0">
      <alignment horizontal="left"/>
    </xf>
    <xf numFmtId="178" fontId="39" fillId="0" borderId="0" applyNumberFormat="0" applyFill="0" applyBorder="0" applyProtection="0">
      <alignment horizontal="left"/>
    </xf>
    <xf numFmtId="178" fontId="36" fillId="0" borderId="0" applyFill="0" applyBorder="0" applyProtection="0">
      <alignment horizontal="left"/>
    </xf>
    <xf numFmtId="0" fontId="61" fillId="0" borderId="0" applyFill="0" applyBorder="0" applyProtection="0">
      <alignment horizontal="center"/>
    </xf>
    <xf numFmtId="0" fontId="80" fillId="56" borderId="21" applyNumberFormat="0" applyAlignment="0" applyProtection="0"/>
    <xf numFmtId="0" fontId="8" fillId="25" borderId="4" applyNumberFormat="0" applyAlignment="0" applyProtection="0"/>
    <xf numFmtId="40" fontId="67" fillId="0" borderId="5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5">
      <alignment horizontal="right"/>
    </xf>
    <xf numFmtId="40" fontId="67" fillId="0" borderId="0">
      <alignment horizontal="right"/>
    </xf>
    <xf numFmtId="41" fontId="24" fillId="0" borderId="0">
      <alignment horizontal="centerContinuous"/>
    </xf>
    <xf numFmtId="41" fontId="24" fillId="0" borderId="0">
      <alignment horizontal="center"/>
    </xf>
    <xf numFmtId="41" fontId="24" fillId="0" borderId="1">
      <alignment horizontal="centerContinuous"/>
    </xf>
    <xf numFmtId="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2" fillId="0" borderId="0"/>
    <xf numFmtId="40" fontId="2" fillId="0" borderId="0"/>
    <xf numFmtId="40" fontId="2" fillId="0" borderId="0"/>
    <xf numFmtId="40" fontId="2" fillId="0" borderId="0"/>
    <xf numFmtId="40" fontId="2" fillId="0" borderId="0">
      <protection locked="0"/>
    </xf>
    <xf numFmtId="40" fontId="2" fillId="0" borderId="0"/>
    <xf numFmtId="40" fontId="2" fillId="0" borderId="0"/>
    <xf numFmtId="43" fontId="75" fillId="0" borderId="0" applyFont="0" applyFill="0" applyBorder="0" applyAlignment="0" applyProtection="0"/>
    <xf numFmtId="191" fontId="23" fillId="0" borderId="0" applyFont="0" applyFill="0" applyBorder="0" applyAlignment="0" applyProtection="0">
      <protection locked="0"/>
    </xf>
    <xf numFmtId="192" fontId="23" fillId="0" borderId="0" applyFont="0" applyFill="0" applyBorder="0" applyAlignment="0" applyProtection="0"/>
    <xf numFmtId="193" fontId="6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84" fontId="26" fillId="0" borderId="0">
      <protection locked="0"/>
    </xf>
    <xf numFmtId="3" fontId="2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63" fillId="0" borderId="0" applyFill="0" applyBorder="0" applyAlignment="0" applyProtection="0">
      <protection locked="0"/>
    </xf>
    <xf numFmtId="44" fontId="75" fillId="0" borderId="0" applyFont="0" applyFill="0" applyBorder="0" applyAlignment="0" applyProtection="0"/>
    <xf numFmtId="194" fontId="6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5" fontId="26" fillId="0" borderId="0">
      <protection locked="0"/>
    </xf>
    <xf numFmtId="5" fontId="2" fillId="0" borderId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6" fillId="0" borderId="0">
      <protection locked="0"/>
    </xf>
    <xf numFmtId="14" fontId="2" fillId="0" borderId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83" fontId="26" fillId="0" borderId="0">
      <protection locked="0"/>
    </xf>
    <xf numFmtId="2" fontId="2" fillId="0" borderId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177" fontId="2" fillId="0" borderId="0"/>
    <xf numFmtId="0" fontId="67" fillId="57" borderId="0">
      <alignment horizontal="center" vertical="center"/>
    </xf>
    <xf numFmtId="40" fontId="67" fillId="57" borderId="0">
      <alignment horizontal="center" vertical="center"/>
    </xf>
    <xf numFmtId="40" fontId="67" fillId="57" borderId="0">
      <alignment horizontal="center" vertical="center"/>
    </xf>
    <xf numFmtId="0" fontId="67" fillId="57" borderId="0">
      <alignment horizontal="left" vertical="center"/>
    </xf>
    <xf numFmtId="0" fontId="67" fillId="28" borderId="0">
      <alignment horizontal="left"/>
    </xf>
    <xf numFmtId="40" fontId="2" fillId="0" borderId="0"/>
    <xf numFmtId="0" fontId="67" fillId="28" borderId="0">
      <alignment horizontal="left"/>
    </xf>
    <xf numFmtId="0" fontId="89" fillId="58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90" fillId="58" borderId="0" applyNumberFormat="0" applyBorder="0" applyAlignment="0" applyProtection="0"/>
    <xf numFmtId="40" fontId="67" fillId="0" borderId="0">
      <alignment horizontal="right"/>
    </xf>
    <xf numFmtId="40" fontId="68" fillId="27" borderId="0"/>
    <xf numFmtId="40" fontId="68" fillId="27" borderId="0"/>
    <xf numFmtId="40" fontId="2" fillId="0" borderId="0"/>
    <xf numFmtId="0" fontId="20" fillId="0" borderId="0">
      <alignment horizontal="centerContinuous"/>
    </xf>
    <xf numFmtId="0" fontId="91" fillId="0" borderId="22" applyNumberFormat="0" applyFill="0" applyAlignment="0" applyProtection="0"/>
    <xf numFmtId="0" fontId="27" fillId="0" borderId="0">
      <protection locked="0"/>
    </xf>
    <xf numFmtId="0" fontId="57" fillId="0" borderId="6" applyNumberFormat="0" applyFill="0" applyAlignment="0" applyProtection="0"/>
    <xf numFmtId="0" fontId="51" fillId="0" borderId="0"/>
    <xf numFmtId="0" fontId="57" fillId="0" borderId="6" applyNumberFormat="0" applyFill="0" applyAlignment="0" applyProtection="0"/>
    <xf numFmtId="0" fontId="51" fillId="0" borderId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92" fillId="0" borderId="23" applyNumberFormat="0" applyFill="0" applyAlignment="0" applyProtection="0"/>
    <xf numFmtId="0" fontId="26" fillId="0" borderId="0">
      <protection locked="0"/>
    </xf>
    <xf numFmtId="0" fontId="58" fillId="0" borderId="7" applyNumberFormat="0" applyFill="0" applyAlignment="0" applyProtection="0"/>
    <xf numFmtId="0" fontId="52" fillId="0" borderId="0"/>
    <xf numFmtId="0" fontId="58" fillId="0" borderId="7" applyNumberFormat="0" applyFill="0" applyAlignment="0" applyProtection="0"/>
    <xf numFmtId="0" fontId="52" fillId="0" borderId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93" fillId="0" borderId="24" applyNumberFormat="0" applyFill="0" applyAlignment="0" applyProtection="0"/>
    <xf numFmtId="0" fontId="53" fillId="0" borderId="8" applyNumberFormat="0" applyFill="0" applyAlignment="0" applyProtection="0"/>
    <xf numFmtId="0" fontId="59" fillId="0" borderId="9" applyNumberFormat="0" applyFill="0" applyAlignment="0" applyProtection="0"/>
    <xf numFmtId="0" fontId="53" fillId="0" borderId="8" applyNumberFormat="0" applyFill="0" applyAlignment="0" applyProtection="0"/>
    <xf numFmtId="0" fontId="59" fillId="0" borderId="9" applyNumberFormat="0" applyFill="0" applyAlignment="0" applyProtection="0"/>
    <xf numFmtId="0" fontId="9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59" borderId="20" applyNumberFormat="0" applyAlignment="0" applyProtection="0"/>
    <xf numFmtId="0" fontId="11" fillId="14" borderId="3" applyNumberFormat="0" applyAlignment="0" applyProtection="0"/>
    <xf numFmtId="0" fontId="11" fillId="5" borderId="3" applyNumberFormat="0" applyAlignment="0" applyProtection="0"/>
    <xf numFmtId="0" fontId="11" fillId="14" borderId="3" applyNumberFormat="0" applyAlignment="0" applyProtection="0"/>
    <xf numFmtId="0" fontId="11" fillId="5" borderId="3" applyNumberFormat="0" applyAlignment="0" applyProtection="0"/>
    <xf numFmtId="0" fontId="22" fillId="60" borderId="0">
      <alignment horizontal="left" vertical="top" wrapText="1"/>
    </xf>
    <xf numFmtId="40" fontId="22" fillId="0" borderId="0"/>
    <xf numFmtId="40" fontId="22" fillId="0" borderId="0"/>
    <xf numFmtId="0" fontId="22" fillId="0" borderId="0">
      <alignment horizontal="left"/>
    </xf>
    <xf numFmtId="0" fontId="22" fillId="0" borderId="0">
      <alignment horizontal="center"/>
    </xf>
    <xf numFmtId="0" fontId="69" fillId="0" borderId="0">
      <alignment horizontal="center"/>
      <protection locked="0"/>
    </xf>
    <xf numFmtId="0" fontId="69" fillId="0" borderId="0">
      <alignment horizontal="center"/>
    </xf>
    <xf numFmtId="0" fontId="67" fillId="28" borderId="0">
      <alignment horizontal="left"/>
    </xf>
    <xf numFmtId="0" fontId="67" fillId="28" borderId="0">
      <alignment horizontal="center"/>
    </xf>
    <xf numFmtId="0" fontId="70" fillId="27" borderId="0">
      <alignment horizontal="left"/>
    </xf>
    <xf numFmtId="0" fontId="70" fillId="27" borderId="0">
      <alignment horizontal="left"/>
    </xf>
    <xf numFmtId="0" fontId="69" fillId="0" borderId="0">
      <alignment horizontal="center"/>
      <protection locked="0"/>
    </xf>
    <xf numFmtId="0" fontId="69" fillId="0" borderId="0">
      <alignment horizontal="center"/>
    </xf>
    <xf numFmtId="40" fontId="71" fillId="0" borderId="10"/>
    <xf numFmtId="40" fontId="71" fillId="0" borderId="10"/>
    <xf numFmtId="0" fontId="71" fillId="0" borderId="0"/>
    <xf numFmtId="0" fontId="71" fillId="0" borderId="0"/>
    <xf numFmtId="0" fontId="69" fillId="0" borderId="0">
      <alignment horizontal="center"/>
      <protection locked="0"/>
    </xf>
    <xf numFmtId="0" fontId="69" fillId="0" borderId="0">
      <alignment horizontal="center"/>
    </xf>
    <xf numFmtId="0" fontId="97" fillId="61" borderId="0">
      <alignment horizontal="left"/>
    </xf>
    <xf numFmtId="0" fontId="97" fillId="61" borderId="0">
      <alignment horizontal="left"/>
    </xf>
    <xf numFmtId="0" fontId="98" fillId="0" borderId="25" applyNumberFormat="0" applyFill="0" applyAlignment="0" applyProtection="0"/>
    <xf numFmtId="0" fontId="17" fillId="0" borderId="12" applyNumberFormat="0" applyFill="0" applyAlignment="0" applyProtection="0"/>
    <xf numFmtId="0" fontId="12" fillId="0" borderId="11" applyNumberFormat="0" applyFill="0" applyAlignment="0" applyProtection="0"/>
    <xf numFmtId="0" fontId="17" fillId="0" borderId="12" applyNumberFormat="0" applyFill="0" applyAlignment="0" applyProtection="0"/>
    <xf numFmtId="0" fontId="12" fillId="0" borderId="11" applyNumberFormat="0" applyFill="0" applyAlignment="0" applyProtection="0"/>
    <xf numFmtId="0" fontId="19" fillId="0" borderId="0"/>
    <xf numFmtId="0" fontId="2" fillId="0" borderId="0"/>
    <xf numFmtId="0" fontId="40" fillId="0" borderId="0" applyNumberFormat="0" applyFill="0" applyBorder="0" applyProtection="0"/>
    <xf numFmtId="40" fontId="67" fillId="0" borderId="2">
      <alignment horizontal="right"/>
    </xf>
    <xf numFmtId="0" fontId="99" fillId="0" borderId="0">
      <alignment horizontal="left"/>
    </xf>
    <xf numFmtId="40" fontId="2" fillId="0" borderId="0"/>
    <xf numFmtId="0" fontId="99" fillId="0" borderId="0">
      <alignment horizontal="left"/>
    </xf>
    <xf numFmtId="0" fontId="67" fillId="0" borderId="0" applyBorder="0">
      <alignment horizontal="right"/>
      <protection locked="0"/>
    </xf>
    <xf numFmtId="200" fontId="67" fillId="0" borderId="2">
      <alignment horizontal="right"/>
    </xf>
    <xf numFmtId="40" fontId="67" fillId="0" borderId="0" applyBorder="0">
      <alignment horizontal="right"/>
    </xf>
    <xf numFmtId="0" fontId="100" fillId="62" borderId="0" applyNumberFormat="0" applyBorder="0" applyAlignment="0" applyProtection="0"/>
    <xf numFmtId="0" fontId="54" fillId="14" borderId="0" applyNumberFormat="0" applyBorder="0" applyAlignment="0" applyProtection="0"/>
    <xf numFmtId="0" fontId="13" fillId="14" borderId="0" applyNumberFormat="0" applyBorder="0" applyAlignment="0" applyProtection="0"/>
    <xf numFmtId="0" fontId="54" fillId="14" borderId="0" applyNumberFormat="0" applyBorder="0" applyAlignment="0" applyProtection="0"/>
    <xf numFmtId="0" fontId="13" fillId="14" borderId="0" applyNumberFormat="0" applyBorder="0" applyAlignment="0" applyProtection="0"/>
    <xf numFmtId="0" fontId="44" fillId="0" borderId="0" applyNumberFormat="0" applyFill="0" applyBorder="0" applyProtection="0"/>
    <xf numFmtId="0" fontId="2" fillId="0" borderId="0"/>
    <xf numFmtId="0" fontId="28" fillId="0" borderId="0"/>
    <xf numFmtId="0" fontId="2" fillId="0" borderId="0">
      <alignment vertical="top"/>
    </xf>
    <xf numFmtId="0" fontId="75" fillId="0" borderId="0"/>
    <xf numFmtId="0" fontId="21" fillId="0" borderId="0"/>
    <xf numFmtId="0" fontId="2" fillId="0" borderId="0">
      <alignment vertical="top"/>
    </xf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21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8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1" fillId="0" borderId="0"/>
    <xf numFmtId="0" fontId="28" fillId="0" borderId="0"/>
    <xf numFmtId="0" fontId="2" fillId="0" borderId="0">
      <alignment vertical="top"/>
    </xf>
    <xf numFmtId="0" fontId="21" fillId="0" borderId="0"/>
    <xf numFmtId="0" fontId="2" fillId="0" borderId="0">
      <alignment vertical="top"/>
    </xf>
    <xf numFmtId="0" fontId="18" fillId="0" borderId="0"/>
    <xf numFmtId="0" fontId="21" fillId="0" borderId="0"/>
    <xf numFmtId="0" fontId="18" fillId="0" borderId="0"/>
    <xf numFmtId="0" fontId="2" fillId="0" borderId="0">
      <alignment vertical="top"/>
    </xf>
    <xf numFmtId="0" fontId="18" fillId="0" borderId="0"/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56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86" fillId="0" borderId="0"/>
    <xf numFmtId="0" fontId="56" fillId="0" borderId="0"/>
    <xf numFmtId="0" fontId="2" fillId="0" borderId="0"/>
    <xf numFmtId="0" fontId="21" fillId="0" borderId="0"/>
    <xf numFmtId="0" fontId="18" fillId="0" borderId="0"/>
    <xf numFmtId="0" fontId="2" fillId="0" borderId="0"/>
    <xf numFmtId="0" fontId="21" fillId="0" borderId="0"/>
    <xf numFmtId="0" fontId="2" fillId="0" borderId="0"/>
    <xf numFmtId="0" fontId="18" fillId="0" borderId="0"/>
    <xf numFmtId="0" fontId="56" fillId="0" borderId="0"/>
    <xf numFmtId="0" fontId="2" fillId="0" borderId="0"/>
    <xf numFmtId="0" fontId="75" fillId="0" borderId="0"/>
    <xf numFmtId="0" fontId="75" fillId="0" borderId="0"/>
    <xf numFmtId="0" fontId="21" fillId="0" borderId="0"/>
    <xf numFmtId="0" fontId="18" fillId="0" borderId="0"/>
    <xf numFmtId="181" fontId="21" fillId="0" borderId="0"/>
    <xf numFmtId="0" fontId="2" fillId="0" borderId="0"/>
    <xf numFmtId="0" fontId="81" fillId="0" borderId="0"/>
    <xf numFmtId="0" fontId="2" fillId="0" borderId="0"/>
    <xf numFmtId="0" fontId="56" fillId="0" borderId="0"/>
    <xf numFmtId="0" fontId="2" fillId="0" borderId="0"/>
    <xf numFmtId="181" fontId="18" fillId="0" borderId="0"/>
    <xf numFmtId="0" fontId="21" fillId="0" borderId="0"/>
    <xf numFmtId="0" fontId="56" fillId="0" borderId="0"/>
    <xf numFmtId="0" fontId="81" fillId="0" borderId="0"/>
    <xf numFmtId="0" fontId="81" fillId="0" borderId="0"/>
    <xf numFmtId="0" fontId="75" fillId="0" borderId="0"/>
    <xf numFmtId="0" fontId="75" fillId="0" borderId="0"/>
    <xf numFmtId="0" fontId="18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75" fillId="0" borderId="0"/>
    <xf numFmtId="0" fontId="28" fillId="0" borderId="0"/>
    <xf numFmtId="0" fontId="2" fillId="0" borderId="0"/>
    <xf numFmtId="0" fontId="21" fillId="0" borderId="0"/>
    <xf numFmtId="0" fontId="18" fillId="0" borderId="0"/>
    <xf numFmtId="0" fontId="2" fillId="0" borderId="0"/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14" fillId="0" borderId="0"/>
    <xf numFmtId="0" fontId="14" fillId="0" borderId="0"/>
    <xf numFmtId="0" fontId="2" fillId="0" borderId="0"/>
    <xf numFmtId="0" fontId="28" fillId="0" borderId="0"/>
    <xf numFmtId="202" fontId="82" fillId="0" borderId="0"/>
    <xf numFmtId="0" fontId="14" fillId="0" borderId="0"/>
    <xf numFmtId="0" fontId="56" fillId="0" borderId="0"/>
    <xf numFmtId="0" fontId="28" fillId="0" borderId="0"/>
    <xf numFmtId="0" fontId="10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/>
    <xf numFmtId="0" fontId="56" fillId="0" borderId="0"/>
    <xf numFmtId="0" fontId="21" fillId="0" borderId="0"/>
    <xf numFmtId="0" fontId="18" fillId="0" borderId="0"/>
    <xf numFmtId="0" fontId="64" fillId="0" borderId="0"/>
    <xf numFmtId="0" fontId="83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83" fillId="0" borderId="0"/>
    <xf numFmtId="0" fontId="84" fillId="0" borderId="0"/>
    <xf numFmtId="0" fontId="102" fillId="0" borderId="0"/>
    <xf numFmtId="0" fontId="2" fillId="0" borderId="0"/>
    <xf numFmtId="0" fontId="74" fillId="0" borderId="0"/>
    <xf numFmtId="0" fontId="14" fillId="0" borderId="0"/>
    <xf numFmtId="0" fontId="2" fillId="0" borderId="0"/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14" fillId="0" borderId="0"/>
    <xf numFmtId="0" fontId="2" fillId="0" borderId="0"/>
    <xf numFmtId="0" fontId="28" fillId="0" borderId="0"/>
    <xf numFmtId="0" fontId="2" fillId="0" borderId="0">
      <alignment vertical="top"/>
    </xf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103" fillId="0" borderId="0"/>
    <xf numFmtId="0" fontId="85" fillId="0" borderId="0"/>
    <xf numFmtId="0" fontId="28" fillId="0" borderId="0"/>
    <xf numFmtId="0" fontId="21" fillId="0" borderId="0"/>
    <xf numFmtId="0" fontId="75" fillId="0" borderId="0"/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21" fillId="0" borderId="0"/>
    <xf numFmtId="0" fontId="18" fillId="0" borderId="0"/>
    <xf numFmtId="0" fontId="2" fillId="0" borderId="0">
      <alignment vertical="top"/>
    </xf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>
      <alignment vertical="top"/>
    </xf>
    <xf numFmtId="0" fontId="2" fillId="0" borderId="0"/>
    <xf numFmtId="0" fontId="75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202" fontId="8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1" fillId="0" borderId="0"/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21" fillId="0" borderId="0"/>
    <xf numFmtId="0" fontId="75" fillId="0" borderId="0"/>
    <xf numFmtId="0" fontId="18" fillId="0" borderId="0"/>
    <xf numFmtId="0" fontId="21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top"/>
    </xf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84" fillId="0" borderId="0"/>
    <xf numFmtId="0" fontId="2" fillId="0" borderId="0"/>
    <xf numFmtId="0" fontId="2" fillId="0" borderId="0"/>
    <xf numFmtId="0" fontId="21" fillId="0" borderId="0"/>
    <xf numFmtId="0" fontId="18" fillId="0" borderId="0"/>
    <xf numFmtId="0" fontId="2" fillId="0" borderId="0">
      <alignment vertical="top"/>
    </xf>
    <xf numFmtId="0" fontId="75" fillId="0" borderId="0"/>
    <xf numFmtId="0" fontId="2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18" fillId="0" borderId="0"/>
    <xf numFmtId="0" fontId="30" fillId="0" borderId="0" applyNumberFormat="0" applyFill="0" applyBorder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56" fillId="10" borderId="13" applyNumberFormat="0" applyFont="0" applyAlignment="0" applyProtection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2" fillId="10" borderId="13" applyNumberFormat="0" applyFont="0" applyAlignment="0" applyProtection="0"/>
    <xf numFmtId="0" fontId="56" fillId="10" borderId="13" applyNumberFormat="0" applyFont="0" applyAlignment="0" applyProtection="0"/>
    <xf numFmtId="0" fontId="2" fillId="10" borderId="13" applyNumberFormat="0" applyFont="0" applyAlignment="0" applyProtection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45" fillId="0" borderId="0" applyNumberFormat="0" applyFill="0" applyBorder="0" applyProtection="0"/>
    <xf numFmtId="0" fontId="37" fillId="0" borderId="0" applyNumberFormat="0" applyFill="0" applyBorder="0" applyProtection="0">
      <alignment horizontal="left"/>
    </xf>
    <xf numFmtId="178" fontId="35" fillId="0" borderId="0" applyNumberFormat="0" applyFill="0" applyBorder="0" applyProtection="0"/>
    <xf numFmtId="0" fontId="104" fillId="55" borderId="27" applyNumberFormat="0" applyAlignment="0" applyProtection="0"/>
    <xf numFmtId="0" fontId="15" fillId="8" borderId="14" applyNumberFormat="0" applyAlignment="0" applyProtection="0"/>
    <xf numFmtId="0" fontId="15" fillId="12" borderId="14" applyNumberFormat="0" applyAlignment="0" applyProtection="0"/>
    <xf numFmtId="0" fontId="15" fillId="8" borderId="14" applyNumberFormat="0" applyAlignment="0" applyProtection="0"/>
    <xf numFmtId="0" fontId="15" fillId="12" borderId="14" applyNumberFormat="0" applyAlignment="0" applyProtection="0"/>
    <xf numFmtId="9" fontId="75" fillId="0" borderId="0" applyFont="0" applyFill="0" applyBorder="0" applyAlignment="0" applyProtection="0"/>
    <xf numFmtId="180" fontId="23" fillId="0" borderId="0"/>
    <xf numFmtId="179" fontId="23" fillId="0" borderId="0"/>
    <xf numFmtId="190" fontId="23" fillId="0" borderId="0"/>
    <xf numFmtId="190" fontId="23" fillId="0" borderId="0"/>
    <xf numFmtId="195" fontId="23" fillId="0" borderId="0" applyFont="0" applyFill="0" applyBorder="0" applyAlignment="0" applyProtection="0"/>
    <xf numFmtId="182" fontId="23" fillId="0" borderId="2"/>
    <xf numFmtId="196" fontId="6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/>
    <xf numFmtId="44" fontId="22" fillId="0" borderId="0" applyFill="0" applyBorder="0" applyProtection="0"/>
    <xf numFmtId="0" fontId="31" fillId="0" borderId="0" applyNumberFormat="0" applyFill="0" applyBorder="0" applyProtection="0"/>
    <xf numFmtId="40" fontId="72" fillId="29" borderId="0">
      <alignment horizontal="left"/>
    </xf>
    <xf numFmtId="40" fontId="72" fillId="29" borderId="0">
      <alignment horizontal="left"/>
    </xf>
    <xf numFmtId="0" fontId="73" fillId="29" borderId="0">
      <alignment horizontal="left"/>
      <protection locked="0"/>
    </xf>
    <xf numFmtId="14" fontId="73" fillId="29" borderId="0">
      <alignment horizontal="left"/>
      <protection locked="0"/>
    </xf>
    <xf numFmtId="41" fontId="22" fillId="0" borderId="0" applyFill="0" applyBorder="0" applyProtection="0"/>
    <xf numFmtId="43" fontId="22" fillId="0" borderId="0" applyFill="0" applyBorder="0" applyProtection="0"/>
    <xf numFmtId="49" fontId="35" fillId="0" borderId="0" applyFill="0" applyBorder="0" applyProtection="0"/>
    <xf numFmtId="186" fontId="35" fillId="0" borderId="0" applyFill="0" applyBorder="0" applyProtection="0">
      <alignment horizontal="center"/>
    </xf>
    <xf numFmtId="186" fontId="46" fillId="0" borderId="1" applyFill="0" applyBorder="0" applyProtection="0">
      <alignment horizontal="center" wrapText="1"/>
    </xf>
    <xf numFmtId="186" fontId="46" fillId="0" borderId="0" applyFill="0" applyBorder="0" applyProtection="0">
      <alignment horizontal="right"/>
    </xf>
    <xf numFmtId="0" fontId="35" fillId="0" borderId="0" applyNumberFormat="0" applyFill="0" applyBorder="0" applyProtection="0">
      <alignment horizontal="right" wrapText="1"/>
    </xf>
    <xf numFmtId="0" fontId="35" fillId="0" borderId="1" applyFill="0" applyBorder="0" applyProtection="0">
      <alignment wrapText="1"/>
    </xf>
    <xf numFmtId="178" fontId="35" fillId="0" borderId="0" applyNumberFormat="0" applyFill="0" applyBorder="0" applyProtection="0">
      <alignment horizontal="left"/>
    </xf>
    <xf numFmtId="178" fontId="25" fillId="0" borderId="0" applyFill="0" applyBorder="0" applyProtection="0">
      <alignment horizontal="left"/>
    </xf>
    <xf numFmtId="0" fontId="47" fillId="0" borderId="0" applyFill="0" applyBorder="0" applyProtection="0"/>
    <xf numFmtId="178" fontId="25" fillId="0" borderId="0" applyNumberFormat="0" applyFill="0" applyBorder="0" applyProtection="0">
      <alignment horizontal="left" vertical="top"/>
    </xf>
    <xf numFmtId="0" fontId="25" fillId="0" borderId="0" applyNumberFormat="0" applyFill="0" applyBorder="0" applyProtection="0">
      <alignment wrapText="1"/>
    </xf>
    <xf numFmtId="0" fontId="32" fillId="0" borderId="0" applyNumberFormat="0" applyFill="0" applyBorder="0" applyProtection="0"/>
    <xf numFmtId="186" fontId="38" fillId="0" borderId="1" applyNumberFormat="0" applyFill="0" applyBorder="0" applyProtection="0">
      <alignment horizontal="left" wrapText="1"/>
    </xf>
    <xf numFmtId="186" fontId="38" fillId="0" borderId="1" applyNumberFormat="0" applyFill="0" applyBorder="0" applyProtection="0">
      <alignment horizontal="center" wrapText="1"/>
    </xf>
    <xf numFmtId="41" fontId="48" fillId="0" borderId="0" applyFill="0" applyBorder="0" applyProtection="0"/>
    <xf numFmtId="0" fontId="38" fillId="0" borderId="0" applyNumberFormat="0" applyFill="0" applyBorder="0" applyProtection="0">
      <alignment horizontal="center" wrapText="1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center"/>
    </xf>
    <xf numFmtId="189" fontId="43" fillId="0" borderId="0" applyFill="0" applyBorder="0" applyProtection="0">
      <alignment horizontal="center"/>
    </xf>
    <xf numFmtId="43" fontId="49" fillId="0" borderId="0" applyNumberFormat="0" applyFill="0" applyBorder="0" applyProtection="0"/>
    <xf numFmtId="0" fontId="38" fillId="0" borderId="1" applyNumberFormat="0" applyFill="0" applyBorder="0" applyProtection="0">
      <alignment horizontal="center"/>
    </xf>
    <xf numFmtId="1" fontId="25" fillId="0" borderId="1" applyFill="0" applyBorder="0" applyProtection="0"/>
    <xf numFmtId="188" fontId="43" fillId="0" borderId="0" applyFill="0" applyBorder="0" applyProtection="0">
      <alignment horizontal="center"/>
    </xf>
    <xf numFmtId="188" fontId="22" fillId="0" borderId="15" applyFill="0" applyBorder="0" applyProtection="0">
      <alignment horizontal="right"/>
    </xf>
    <xf numFmtId="187" fontId="22" fillId="0" borderId="0" applyFill="0" applyBorder="0" applyProtection="0">
      <alignment horizontal="center"/>
    </xf>
    <xf numFmtId="40" fontId="67" fillId="0" borderId="0">
      <alignment horizontal="right"/>
    </xf>
    <xf numFmtId="40" fontId="65" fillId="29" borderId="0">
      <alignment horizontal="left"/>
    </xf>
    <xf numFmtId="40" fontId="65" fillId="29" borderId="0">
      <alignment horizontal="left"/>
    </xf>
    <xf numFmtId="40" fontId="2" fillId="0" borderId="0"/>
    <xf numFmtId="40" fontId="67" fillId="0" borderId="5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5">
      <alignment horizontal="right"/>
    </xf>
    <xf numFmtId="40" fontId="67" fillId="0" borderId="0">
      <alignment horizontal="right"/>
    </xf>
    <xf numFmtId="40" fontId="67" fillId="0" borderId="0">
      <alignment horizontal="right"/>
    </xf>
    <xf numFmtId="0" fontId="67" fillId="28" borderId="0">
      <alignment horizontal="left"/>
    </xf>
    <xf numFmtId="40" fontId="2" fillId="0" borderId="0"/>
    <xf numFmtId="0" fontId="67" fillId="28" borderId="0">
      <alignment horizontal="left"/>
    </xf>
    <xf numFmtId="0" fontId="67" fillId="0" borderId="0">
      <alignment horizontal="right"/>
      <protection locked="0"/>
    </xf>
    <xf numFmtId="200" fontId="67" fillId="0" borderId="0">
      <alignment horizontal="right"/>
    </xf>
    <xf numFmtId="40" fontId="67" fillId="0" borderId="0">
      <alignment horizontal="right"/>
    </xf>
    <xf numFmtId="0" fontId="5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" fontId="34" fillId="0" borderId="0" applyFill="0" applyBorder="0" applyProtection="0">
      <alignment horizontal="center"/>
    </xf>
    <xf numFmtId="0" fontId="33" fillId="0" borderId="1" applyNumberFormat="0" applyFill="0" applyBorder="0" applyProtection="0">
      <alignment horizontal="center"/>
    </xf>
    <xf numFmtId="0" fontId="32" fillId="0" borderId="0" applyNumberFormat="0" applyFill="0" applyBorder="0" applyProtection="0"/>
    <xf numFmtId="0" fontId="106" fillId="0" borderId="28" applyNumberFormat="0" applyFill="0" applyAlignment="0" applyProtection="0"/>
    <xf numFmtId="0" fontId="26" fillId="0" borderId="16">
      <protection locked="0"/>
    </xf>
    <xf numFmtId="0" fontId="16" fillId="0" borderId="17" applyNumberFormat="0" applyFill="0" applyAlignment="0" applyProtection="0"/>
    <xf numFmtId="0" fontId="2" fillId="0" borderId="16"/>
    <xf numFmtId="0" fontId="16" fillId="0" borderId="17" applyNumberFormat="0" applyFill="0" applyAlignment="0" applyProtection="0"/>
    <xf numFmtId="0" fontId="2" fillId="0" borderId="16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71" fillId="0" borderId="0"/>
    <xf numFmtId="40" fontId="22" fillId="0" borderId="10"/>
    <xf numFmtId="40" fontId="22" fillId="0" borderId="10"/>
    <xf numFmtId="0" fontId="22" fillId="0" borderId="0"/>
    <xf numFmtId="0" fontId="22" fillId="0" borderId="0"/>
    <xf numFmtId="40" fontId="22" fillId="0" borderId="0"/>
    <xf numFmtId="201" fontId="22" fillId="0" borderId="0"/>
    <xf numFmtId="40" fontId="22" fillId="0" borderId="0"/>
    <xf numFmtId="0" fontId="22" fillId="0" borderId="0"/>
    <xf numFmtId="0" fontId="22" fillId="0" borderId="0"/>
    <xf numFmtId="40" fontId="67" fillId="0" borderId="10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10">
      <alignment horizontal="right"/>
    </xf>
    <xf numFmtId="40" fontId="67" fillId="0" borderId="0">
      <alignment horizontal="right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38" fontId="124" fillId="0" borderId="0" applyBorder="0">
      <alignment horizontal="right"/>
    </xf>
    <xf numFmtId="0" fontId="71" fillId="0" borderId="0" applyFill="0" applyBorder="0" applyProtection="0">
      <alignment horizontal="center"/>
      <protection locked="0"/>
    </xf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43" fontId="103" fillId="0" borderId="0" applyFont="0" applyFill="0" applyBorder="0" applyAlignment="0" applyProtection="0"/>
  </cellStyleXfs>
  <cellXfs count="265">
    <xf numFmtId="0" fontId="0" fillId="0" borderId="0" xfId="0"/>
    <xf numFmtId="166" fontId="103" fillId="0" borderId="0" xfId="1790" applyNumberFormat="1" applyFont="1" applyFill="1" applyBorder="1"/>
    <xf numFmtId="166" fontId="109" fillId="0" borderId="0" xfId="0" applyNumberFormat="1" applyFont="1"/>
    <xf numFmtId="43" fontId="75" fillId="0" borderId="0" xfId="276" applyFont="1"/>
    <xf numFmtId="167" fontId="107" fillId="0" borderId="0" xfId="276" applyNumberFormat="1" applyFont="1" applyBorder="1"/>
    <xf numFmtId="167" fontId="2" fillId="0" borderId="0" xfId="276" applyNumberFormat="1" applyFont="1" applyFill="1" applyBorder="1"/>
    <xf numFmtId="176" fontId="2" fillId="65" borderId="0" xfId="276" applyNumberFormat="1" applyFont="1" applyFill="1" applyBorder="1"/>
    <xf numFmtId="176" fontId="0" fillId="0" borderId="0" xfId="0" applyNumberFormat="1"/>
    <xf numFmtId="176" fontId="86" fillId="0" borderId="0" xfId="553" applyNumberFormat="1" applyFont="1" applyFill="1" applyBorder="1"/>
    <xf numFmtId="0" fontId="83" fillId="0" borderId="0" xfId="1495"/>
    <xf numFmtId="0" fontId="2" fillId="0" borderId="0" xfId="1669" applyFont="1" applyAlignment="1">
      <alignment vertical="center"/>
    </xf>
    <xf numFmtId="0" fontId="103" fillId="0" borderId="0" xfId="1490" applyFont="1"/>
    <xf numFmtId="176" fontId="103" fillId="0" borderId="0" xfId="563" applyNumberFormat="1" applyFont="1"/>
    <xf numFmtId="10" fontId="103" fillId="0" borderId="0" xfId="1785" applyNumberFormat="1" applyFont="1"/>
    <xf numFmtId="0" fontId="2" fillId="0" borderId="0" xfId="1497" applyFont="1" applyAlignment="1">
      <alignment vertical="center"/>
    </xf>
    <xf numFmtId="176" fontId="103" fillId="0" borderId="0" xfId="565" applyNumberFormat="1" applyFont="1"/>
    <xf numFmtId="0" fontId="103" fillId="0" borderId="1" xfId="1490" applyFont="1" applyBorder="1" applyAlignment="1">
      <alignment horizontal="center"/>
    </xf>
    <xf numFmtId="0" fontId="83" fillId="0" borderId="0" xfId="1490"/>
    <xf numFmtId="0" fontId="103" fillId="0" borderId="0" xfId="1490" applyFont="1" applyAlignment="1">
      <alignment horizontal="center"/>
    </xf>
    <xf numFmtId="176" fontId="103" fillId="0" borderId="0" xfId="566" applyNumberFormat="1" applyFont="1"/>
    <xf numFmtId="9" fontId="103" fillId="0" borderId="0" xfId="1490" quotePrefix="1" applyNumberFormat="1" applyFont="1" applyAlignment="1">
      <alignment horizontal="center"/>
    </xf>
    <xf numFmtId="0" fontId="116" fillId="0" borderId="0" xfId="1523" applyFont="1" applyAlignment="1">
      <alignment horizontal="left"/>
    </xf>
    <xf numFmtId="0" fontId="116" fillId="0" borderId="0" xfId="1523" applyFont="1"/>
    <xf numFmtId="0" fontId="116" fillId="0" borderId="0" xfId="1523" applyFont="1" applyAlignment="1">
      <alignment horizontal="right"/>
    </xf>
    <xf numFmtId="171" fontId="116" fillId="0" borderId="0" xfId="1523" applyNumberFormat="1" applyFont="1" applyAlignment="1">
      <alignment horizontal="right"/>
    </xf>
    <xf numFmtId="171" fontId="103" fillId="0" borderId="0" xfId="1801" applyNumberFormat="1" applyFont="1" applyFill="1"/>
    <xf numFmtId="170" fontId="103" fillId="0" borderId="0" xfId="1689" applyNumberFormat="1" applyFont="1" applyFill="1" applyBorder="1" applyAlignment="1">
      <alignment horizontal="right"/>
    </xf>
    <xf numFmtId="175" fontId="103" fillId="0" borderId="0" xfId="1689" applyNumberFormat="1" applyFont="1" applyFill="1" applyBorder="1"/>
    <xf numFmtId="167" fontId="109" fillId="0" borderId="0" xfId="276" applyNumberFormat="1" applyFont="1" applyFill="1" applyBorder="1"/>
    <xf numFmtId="172" fontId="109" fillId="0" borderId="0" xfId="0" applyNumberFormat="1" applyFont="1"/>
    <xf numFmtId="172" fontId="103" fillId="0" borderId="2" xfId="1689" applyNumberFormat="1" applyFont="1" applyFill="1" applyBorder="1"/>
    <xf numFmtId="172" fontId="103" fillId="66" borderId="0" xfId="1523" applyNumberFormat="1" applyFill="1"/>
    <xf numFmtId="198" fontId="103" fillId="66" borderId="0" xfId="1523" applyNumberFormat="1" applyFill="1"/>
    <xf numFmtId="43" fontId="109" fillId="0" borderId="10" xfId="276" applyFont="1" applyFill="1" applyBorder="1"/>
    <xf numFmtId="175" fontId="109" fillId="0" borderId="10" xfId="1689" applyNumberFormat="1" applyFont="1" applyFill="1" applyBorder="1"/>
    <xf numFmtId="167" fontId="109" fillId="0" borderId="1" xfId="276" applyNumberFormat="1" applyFont="1" applyFill="1" applyBorder="1"/>
    <xf numFmtId="0" fontId="118" fillId="0" borderId="0" xfId="0" applyFont="1"/>
    <xf numFmtId="0" fontId="103" fillId="0" borderId="0" xfId="0" quotePrefix="1" applyFont="1"/>
    <xf numFmtId="0" fontId="103" fillId="69" borderId="0" xfId="0" applyFont="1" applyFill="1"/>
    <xf numFmtId="42" fontId="0" fillId="0" borderId="0" xfId="0" applyNumberFormat="1"/>
    <xf numFmtId="174" fontId="103" fillId="0" borderId="0" xfId="1689" quotePrefix="1" applyNumberFormat="1" applyFont="1" applyAlignment="1">
      <alignment horizontal="center"/>
    </xf>
    <xf numFmtId="0" fontId="109" fillId="0" borderId="1" xfId="0" applyFont="1" applyBorder="1"/>
    <xf numFmtId="167" fontId="109" fillId="0" borderId="0" xfId="276" applyNumberFormat="1" applyFont="1" applyBorder="1"/>
    <xf numFmtId="167" fontId="109" fillId="0" borderId="10" xfId="276" applyNumberFormat="1" applyFont="1" applyFill="1" applyBorder="1"/>
    <xf numFmtId="176" fontId="103" fillId="0" borderId="0" xfId="553" applyNumberFormat="1" applyFont="1" applyFill="1"/>
    <xf numFmtId="176" fontId="103" fillId="0" borderId="0" xfId="553" applyNumberFormat="1" applyFont="1" applyBorder="1"/>
    <xf numFmtId="167" fontId="103" fillId="0" borderId="0" xfId="276" applyNumberFormat="1" applyFont="1" applyFill="1"/>
    <xf numFmtId="167" fontId="75" fillId="0" borderId="0" xfId="276" applyNumberFormat="1" applyFont="1"/>
    <xf numFmtId="166" fontId="86" fillId="0" borderId="1" xfId="1689" applyNumberFormat="1" applyFont="1" applyFill="1" applyBorder="1"/>
    <xf numFmtId="167" fontId="86" fillId="0" borderId="1" xfId="276" applyNumberFormat="1" applyFont="1" applyFill="1" applyBorder="1"/>
    <xf numFmtId="42" fontId="103" fillId="0" borderId="0" xfId="0" applyNumberFormat="1" applyFont="1"/>
    <xf numFmtId="37" fontId="86" fillId="0" borderId="1" xfId="335" applyNumberFormat="1" applyFont="1" applyFill="1" applyBorder="1"/>
    <xf numFmtId="176" fontId="86" fillId="0" borderId="0" xfId="567" applyNumberFormat="1" applyFont="1" applyFill="1" applyBorder="1"/>
    <xf numFmtId="0" fontId="109" fillId="0" borderId="0" xfId="0" applyFont="1"/>
    <xf numFmtId="167" fontId="86" fillId="0" borderId="0" xfId="276" applyNumberFormat="1" applyFont="1" applyFill="1" applyBorder="1"/>
    <xf numFmtId="167" fontId="86" fillId="65" borderId="0" xfId="276" applyNumberFormat="1" applyFont="1" applyFill="1" applyBorder="1"/>
    <xf numFmtId="166" fontId="86" fillId="0" borderId="0" xfId="1689" applyNumberFormat="1" applyFont="1" applyFill="1" applyBorder="1"/>
    <xf numFmtId="166" fontId="86" fillId="65" borderId="0" xfId="1689" applyNumberFormat="1" applyFont="1" applyFill="1" applyBorder="1"/>
    <xf numFmtId="166" fontId="103" fillId="0" borderId="0" xfId="1689" applyNumberFormat="1" applyFont="1" applyFill="1" applyBorder="1"/>
    <xf numFmtId="166" fontId="103" fillId="0" borderId="2" xfId="1689" applyNumberFormat="1" applyFont="1" applyFill="1" applyBorder="1"/>
    <xf numFmtId="37" fontId="86" fillId="0" borderId="0" xfId="335" applyNumberFormat="1" applyFont="1" applyFill="1" applyBorder="1"/>
    <xf numFmtId="37" fontId="86" fillId="64" borderId="0" xfId="335" applyNumberFormat="1" applyFont="1" applyFill="1" applyBorder="1"/>
    <xf numFmtId="0" fontId="103" fillId="0" borderId="0" xfId="0" applyFont="1"/>
    <xf numFmtId="167" fontId="2" fillId="65" borderId="0" xfId="276" applyNumberFormat="1" applyFont="1" applyFill="1" applyBorder="1"/>
    <xf numFmtId="167" fontId="75" fillId="0" borderId="0" xfId="276" applyNumberFormat="1" applyFont="1" applyBorder="1"/>
    <xf numFmtId="176" fontId="86" fillId="0" borderId="2" xfId="567" applyNumberFormat="1" applyFont="1" applyFill="1" applyBorder="1"/>
    <xf numFmtId="166" fontId="86" fillId="64" borderId="0" xfId="1689" applyNumberFormat="1" applyFont="1" applyFill="1" applyBorder="1"/>
    <xf numFmtId="167" fontId="103" fillId="0" borderId="0" xfId="276" applyNumberFormat="1" applyFont="1"/>
    <xf numFmtId="176" fontId="103" fillId="0" borderId="0" xfId="553" applyNumberFormat="1" applyFont="1"/>
    <xf numFmtId="176" fontId="103" fillId="0" borderId="0" xfId="0" applyNumberFormat="1" applyFont="1"/>
    <xf numFmtId="0" fontId="103" fillId="0" borderId="0" xfId="0" applyFont="1" applyAlignment="1">
      <alignment horizontal="center"/>
    </xf>
    <xf numFmtId="0" fontId="103" fillId="0" borderId="0" xfId="553" applyNumberFormat="1" applyFont="1" applyBorder="1" applyAlignment="1">
      <alignment horizontal="center"/>
    </xf>
    <xf numFmtId="0" fontId="116" fillId="0" borderId="0" xfId="0" applyFont="1"/>
    <xf numFmtId="0" fontId="116" fillId="0" borderId="0" xfId="0" applyFont="1" applyAlignment="1">
      <alignment horizontal="center"/>
    </xf>
    <xf numFmtId="0" fontId="116" fillId="0" borderId="1" xfId="0" applyFont="1" applyBorder="1"/>
    <xf numFmtId="0" fontId="116" fillId="0" borderId="1" xfId="0" applyFont="1" applyBorder="1" applyAlignment="1">
      <alignment horizontal="center"/>
    </xf>
    <xf numFmtId="0" fontId="116" fillId="0" borderId="1" xfId="553" applyNumberFormat="1" applyFont="1" applyBorder="1" applyAlignment="1">
      <alignment horizontal="center"/>
    </xf>
    <xf numFmtId="167" fontId="103" fillId="0" borderId="1" xfId="276" applyNumberFormat="1" applyFont="1" applyBorder="1"/>
    <xf numFmtId="176" fontId="86" fillId="64" borderId="0" xfId="553" applyNumberFormat="1" applyFont="1" applyFill="1" applyBorder="1"/>
    <xf numFmtId="176" fontId="103" fillId="0" borderId="2" xfId="553" applyNumberFormat="1" applyFont="1" applyFill="1" applyBorder="1"/>
    <xf numFmtId="10" fontId="103" fillId="0" borderId="1" xfId="1490" quotePrefix="1" applyNumberFormat="1" applyFont="1" applyBorder="1" applyAlignment="1">
      <alignment horizontal="center"/>
    </xf>
    <xf numFmtId="166" fontId="81" fillId="0" borderId="0" xfId="1689" applyNumberFormat="1" applyFont="1" applyFill="1" applyBorder="1"/>
    <xf numFmtId="167" fontId="103" fillId="0" borderId="0" xfId="276" applyNumberFormat="1" applyFont="1" applyFill="1" applyBorder="1"/>
    <xf numFmtId="0" fontId="117" fillId="0" borderId="0" xfId="0" applyFont="1"/>
    <xf numFmtId="167" fontId="109" fillId="0" borderId="0" xfId="276" applyNumberFormat="1" applyFont="1"/>
    <xf numFmtId="167" fontId="109" fillId="0" borderId="0" xfId="0" applyNumberFormat="1" applyFont="1"/>
    <xf numFmtId="176" fontId="103" fillId="0" borderId="2" xfId="0" applyNumberFormat="1" applyFont="1" applyBorder="1"/>
    <xf numFmtId="167" fontId="103" fillId="0" borderId="0" xfId="276" applyNumberFormat="1" applyFont="1" applyBorder="1"/>
    <xf numFmtId="0" fontId="103" fillId="0" borderId="1" xfId="1490" quotePrefix="1" applyFont="1" applyBorder="1" applyAlignment="1">
      <alignment horizontal="center"/>
    </xf>
    <xf numFmtId="167" fontId="103" fillId="0" borderId="0" xfId="0" applyNumberFormat="1" applyFont="1"/>
    <xf numFmtId="42" fontId="103" fillId="0" borderId="0" xfId="276" applyNumberFormat="1" applyFont="1"/>
    <xf numFmtId="41" fontId="103" fillId="0" borderId="1" xfId="276" applyNumberFormat="1" applyFont="1" applyBorder="1"/>
    <xf numFmtId="41" fontId="103" fillId="0" borderId="0" xfId="276" applyNumberFormat="1" applyFont="1"/>
    <xf numFmtId="41" fontId="103" fillId="0" borderId="0" xfId="276" applyNumberFormat="1" applyFont="1" applyBorder="1"/>
    <xf numFmtId="42" fontId="103" fillId="0" borderId="0" xfId="553" applyNumberFormat="1" applyFont="1"/>
    <xf numFmtId="42" fontId="103" fillId="0" borderId="0" xfId="276" applyNumberFormat="1" applyFont="1" applyBorder="1"/>
    <xf numFmtId="42" fontId="103" fillId="0" borderId="0" xfId="553" applyNumberFormat="1" applyFont="1" applyBorder="1"/>
    <xf numFmtId="176" fontId="103" fillId="0" borderId="2" xfId="563" applyNumberFormat="1" applyFont="1" applyBorder="1"/>
    <xf numFmtId="167" fontId="103" fillId="0" borderId="0" xfId="378" applyNumberFormat="1" applyFont="1" applyBorder="1"/>
    <xf numFmtId="167" fontId="103" fillId="0" borderId="1" xfId="378" applyNumberFormat="1" applyFont="1" applyBorder="1"/>
    <xf numFmtId="167" fontId="103" fillId="66" borderId="0" xfId="276" applyNumberFormat="1" applyFont="1" applyFill="1"/>
    <xf numFmtId="176" fontId="103" fillId="0" borderId="0" xfId="553" applyNumberFormat="1" applyFont="1" applyFill="1" applyBorder="1"/>
    <xf numFmtId="0" fontId="0" fillId="0" borderId="0" xfId="0" applyAlignment="1">
      <alignment shrinkToFit="1"/>
    </xf>
    <xf numFmtId="167" fontId="103" fillId="0" borderId="1" xfId="276" applyNumberFormat="1" applyFont="1" applyFill="1" applyBorder="1"/>
    <xf numFmtId="41" fontId="103" fillId="0" borderId="0" xfId="276" applyNumberFormat="1" applyFont="1" applyFill="1" applyBorder="1"/>
    <xf numFmtId="41" fontId="103" fillId="0" borderId="0" xfId="0" applyNumberFormat="1" applyFont="1"/>
    <xf numFmtId="42" fontId="86" fillId="0" borderId="0" xfId="276" applyNumberFormat="1" applyFont="1" applyFill="1" applyBorder="1"/>
    <xf numFmtId="41" fontId="86" fillId="64" borderId="0" xfId="553" applyNumberFormat="1" applyFont="1" applyFill="1" applyBorder="1"/>
    <xf numFmtId="42" fontId="86" fillId="65" borderId="0" xfId="276" applyNumberFormat="1" applyFont="1" applyFill="1" applyBorder="1"/>
    <xf numFmtId="2" fontId="103" fillId="0" borderId="0" xfId="0" quotePrefix="1" applyNumberFormat="1" applyFont="1" applyAlignment="1">
      <alignment horizontal="center"/>
    </xf>
    <xf numFmtId="167" fontId="126" fillId="0" borderId="0" xfId="276" applyNumberFormat="1" applyFont="1" applyFill="1" applyBorder="1" applyProtection="1">
      <protection locked="0"/>
    </xf>
    <xf numFmtId="167" fontId="126" fillId="71" borderId="31" xfId="276" applyNumberFormat="1" applyFont="1" applyFill="1" applyBorder="1" applyProtection="1">
      <protection locked="0"/>
    </xf>
    <xf numFmtId="0" fontId="126" fillId="71" borderId="31" xfId="0" applyFont="1" applyFill="1" applyBorder="1" applyAlignment="1" applyProtection="1">
      <alignment horizontal="center"/>
      <protection locked="0"/>
    </xf>
    <xf numFmtId="10" fontId="126" fillId="0" borderId="0" xfId="1689" applyNumberFormat="1" applyFont="1" applyProtection="1"/>
    <xf numFmtId="167" fontId="126" fillId="0" borderId="0" xfId="276" applyNumberFormat="1" applyFont="1" applyBorder="1" applyProtection="1"/>
    <xf numFmtId="167" fontId="127" fillId="0" borderId="0" xfId="276" applyNumberFormat="1" applyFont="1" applyBorder="1" applyAlignment="1" applyProtection="1">
      <alignment horizontal="center"/>
    </xf>
    <xf numFmtId="167" fontId="126" fillId="0" borderId="0" xfId="276" applyNumberFormat="1" applyFont="1" applyProtection="1"/>
    <xf numFmtId="176" fontId="126" fillId="0" borderId="0" xfId="553" applyNumberFormat="1" applyFont="1" applyProtection="1"/>
    <xf numFmtId="43" fontId="0" fillId="0" borderId="0" xfId="0" applyNumberFormat="1"/>
    <xf numFmtId="43" fontId="126" fillId="0" borderId="0" xfId="276" applyFont="1" applyProtection="1"/>
    <xf numFmtId="167" fontId="113" fillId="64" borderId="0" xfId="276" applyNumberFormat="1" applyFont="1" applyFill="1" applyBorder="1" applyAlignment="1">
      <alignment horizontal="right"/>
    </xf>
    <xf numFmtId="167" fontId="113" fillId="64" borderId="0" xfId="276" applyNumberFormat="1" applyFont="1" applyFill="1" applyBorder="1"/>
    <xf numFmtId="167" fontId="113" fillId="0" borderId="0" xfId="276" applyNumberFormat="1" applyFont="1" applyFill="1" applyBorder="1" applyAlignment="1">
      <alignment horizontal="right"/>
    </xf>
    <xf numFmtId="167" fontId="113" fillId="0" borderId="0" xfId="276" applyNumberFormat="1" applyFont="1" applyFill="1" applyBorder="1"/>
    <xf numFmtId="0" fontId="122" fillId="0" borderId="0" xfId="0" applyFont="1"/>
    <xf numFmtId="0" fontId="123" fillId="0" borderId="0" xfId="0" applyFont="1"/>
    <xf numFmtId="42" fontId="113" fillId="64" borderId="0" xfId="276" applyNumberFormat="1" applyFont="1" applyFill="1" applyBorder="1" applyAlignment="1">
      <alignment horizontal="right"/>
    </xf>
    <xf numFmtId="42" fontId="113" fillId="64" borderId="0" xfId="276" applyNumberFormat="1" applyFont="1" applyFill="1" applyBorder="1"/>
    <xf numFmtId="176" fontId="113" fillId="64" borderId="0" xfId="553" applyNumberFormat="1" applyFont="1" applyFill="1" applyBorder="1" applyAlignment="1">
      <alignment horizontal="right"/>
    </xf>
    <xf numFmtId="167" fontId="0" fillId="0" borderId="0" xfId="0" applyNumberFormat="1"/>
    <xf numFmtId="41" fontId="113" fillId="64" borderId="0" xfId="276" applyNumberFormat="1" applyFont="1" applyFill="1" applyBorder="1" applyAlignment="1">
      <alignment horizontal="right"/>
    </xf>
    <xf numFmtId="41" fontId="113" fillId="0" borderId="0" xfId="276" applyNumberFormat="1" applyFont="1" applyFill="1" applyBorder="1" applyAlignment="1">
      <alignment horizontal="right"/>
    </xf>
    <xf numFmtId="0" fontId="0" fillId="0" borderId="0" xfId="0"/>
    <xf numFmtId="176" fontId="86" fillId="0" borderId="2" xfId="553" applyNumberFormat="1" applyFont="1" applyFill="1" applyBorder="1"/>
    <xf numFmtId="0" fontId="118" fillId="0" borderId="0" xfId="0" applyFont="1" applyAlignment="1">
      <alignment horizontal="center"/>
    </xf>
    <xf numFmtId="0" fontId="117" fillId="0" borderId="0" xfId="0" applyFont="1" applyAlignment="1">
      <alignment horizontal="center"/>
    </xf>
    <xf numFmtId="166" fontId="126" fillId="0" borderId="30" xfId="1689" quotePrefix="1" applyNumberFormat="1" applyFont="1" applyBorder="1" applyProtection="1"/>
    <xf numFmtId="167" fontId="126" fillId="0" borderId="30" xfId="276" quotePrefix="1" applyNumberFormat="1" applyFont="1" applyBorder="1" applyProtection="1"/>
    <xf numFmtId="167" fontId="126" fillId="0" borderId="0" xfId="276" quotePrefix="1" applyNumberFormat="1" applyFont="1" applyProtection="1"/>
    <xf numFmtId="0" fontId="108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/>
    </xf>
    <xf numFmtId="0" fontId="108" fillId="0" borderId="0" xfId="0" applyFont="1" applyAlignment="1">
      <alignment horizontal="center"/>
    </xf>
    <xf numFmtId="0" fontId="108" fillId="0" borderId="0" xfId="0" quotePrefix="1" applyFont="1" applyAlignment="1">
      <alignment horizontal="center"/>
    </xf>
    <xf numFmtId="1" fontId="86" fillId="64" borderId="0" xfId="1378" applyNumberFormat="1" applyFont="1" applyFill="1" applyAlignment="1">
      <alignment horizontal="center"/>
    </xf>
    <xf numFmtId="164" fontId="86" fillId="64" borderId="0" xfId="1378" applyNumberFormat="1" applyFont="1" applyFill="1"/>
    <xf numFmtId="0" fontId="103" fillId="66" borderId="0" xfId="1523" applyFill="1"/>
    <xf numFmtId="197" fontId="103" fillId="0" borderId="0" xfId="1523" applyNumberFormat="1"/>
    <xf numFmtId="1" fontId="86" fillId="0" borderId="0" xfId="1378" applyNumberFormat="1" applyFont="1" applyAlignment="1">
      <alignment horizontal="center"/>
    </xf>
    <xf numFmtId="164" fontId="86" fillId="0" borderId="0" xfId="1378" applyNumberFormat="1" applyFont="1"/>
    <xf numFmtId="164" fontId="86" fillId="65" borderId="0" xfId="1378" applyNumberFormat="1" applyFont="1" applyFill="1"/>
    <xf numFmtId="167" fontId="86" fillId="65" borderId="1" xfId="276" applyNumberFormat="1" applyFont="1" applyFill="1" applyBorder="1"/>
    <xf numFmtId="166" fontId="86" fillId="65" borderId="1" xfId="1689" applyNumberFormat="1" applyFont="1" applyFill="1" applyBorder="1"/>
    <xf numFmtId="164" fontId="103" fillId="0" borderId="0" xfId="0" applyNumberFormat="1" applyFont="1"/>
    <xf numFmtId="0" fontId="108" fillId="0" borderId="0" xfId="0" applyFont="1"/>
    <xf numFmtId="39" fontId="109" fillId="0" borderId="0" xfId="0" applyNumberFormat="1" applyFont="1"/>
    <xf numFmtId="0" fontId="3" fillId="0" borderId="0" xfId="1378" applyFont="1"/>
    <xf numFmtId="0" fontId="3" fillId="0" borderId="0" xfId="1378" applyFont="1" applyAlignment="1">
      <alignment horizontal="center"/>
    </xf>
    <xf numFmtId="0" fontId="4" fillId="0" borderId="0" xfId="1378" applyFont="1" applyAlignment="1">
      <alignment horizontal="center" wrapText="1"/>
    </xf>
    <xf numFmtId="0" fontId="4" fillId="0" borderId="5" xfId="1378" applyFont="1" applyBorder="1" applyAlignment="1">
      <alignment horizontal="center" wrapText="1"/>
    </xf>
    <xf numFmtId="0" fontId="4" fillId="0" borderId="1" xfId="1378" applyFont="1" applyBorder="1" applyAlignment="1">
      <alignment horizontal="center" wrapText="1"/>
    </xf>
    <xf numFmtId="0" fontId="112" fillId="0" borderId="29" xfId="1378" applyFont="1" applyBorder="1" applyAlignment="1">
      <alignment horizontal="center" wrapText="1"/>
    </xf>
    <xf numFmtId="168" fontId="112" fillId="0" borderId="29" xfId="1378" applyNumberFormat="1" applyFont="1" applyBorder="1" applyAlignment="1">
      <alignment horizontal="center" wrapText="1"/>
    </xf>
    <xf numFmtId="168" fontId="112" fillId="0" borderId="0" xfId="1378" applyNumberFormat="1" applyFont="1" applyAlignment="1">
      <alignment horizontal="center" wrapText="1"/>
    </xf>
    <xf numFmtId="0" fontId="112" fillId="0" borderId="0" xfId="1378" applyFont="1" applyAlignment="1">
      <alignment horizontal="center" wrapText="1"/>
    </xf>
    <xf numFmtId="1" fontId="113" fillId="64" borderId="0" xfId="1378" applyNumberFormat="1" applyFont="1" applyFill="1" applyAlignment="1">
      <alignment horizontal="center"/>
    </xf>
    <xf numFmtId="164" fontId="113" fillId="64" borderId="0" xfId="1378" applyNumberFormat="1" applyFont="1" applyFill="1"/>
    <xf numFmtId="1" fontId="113" fillId="0" borderId="0" xfId="1378" applyNumberFormat="1" applyFont="1" applyAlignment="1">
      <alignment horizontal="center"/>
    </xf>
    <xf numFmtId="164" fontId="113" fillId="0" borderId="0" xfId="1378" applyNumberFormat="1" applyFont="1"/>
    <xf numFmtId="164" fontId="113" fillId="65" borderId="0" xfId="1378" applyNumberFormat="1" applyFont="1" applyFill="1"/>
    <xf numFmtId="164" fontId="114" fillId="0" borderId="0" xfId="1378" applyNumberFormat="1" applyFont="1"/>
    <xf numFmtId="165" fontId="114" fillId="0" borderId="0" xfId="1378" applyNumberFormat="1" applyFont="1"/>
    <xf numFmtId="0" fontId="115" fillId="0" borderId="0" xfId="1378" applyFont="1"/>
    <xf numFmtId="42" fontId="113" fillId="0" borderId="2" xfId="1378" applyNumberFormat="1" applyFont="1" applyBorder="1" applyAlignment="1">
      <alignment horizontal="center"/>
    </xf>
    <xf numFmtId="0" fontId="121" fillId="0" borderId="0" xfId="0" applyFont="1"/>
    <xf numFmtId="0" fontId="115" fillId="0" borderId="0" xfId="1378" applyFont="1" applyAlignment="1">
      <alignment horizontal="center"/>
    </xf>
    <xf numFmtId="42" fontId="113" fillId="0" borderId="0" xfId="1378" applyNumberFormat="1" applyFont="1" applyAlignment="1">
      <alignment horizontal="center"/>
    </xf>
    <xf numFmtId="176" fontId="106" fillId="0" borderId="0" xfId="0" applyNumberFormat="1" applyFont="1"/>
    <xf numFmtId="0" fontId="86" fillId="0" borderId="0" xfId="1523" applyFont="1"/>
    <xf numFmtId="0" fontId="108" fillId="0" borderId="1" xfId="1523" applyFont="1" applyBorder="1" applyAlignment="1">
      <alignment horizontal="center" wrapText="1"/>
    </xf>
    <xf numFmtId="0" fontId="108" fillId="0" borderId="1" xfId="1523" applyFont="1" applyBorder="1" applyAlignment="1">
      <alignment horizontal="center"/>
    </xf>
    <xf numFmtId="0" fontId="108" fillId="0" borderId="5" xfId="1523" applyFont="1" applyBorder="1" applyAlignment="1">
      <alignment horizontal="center" wrapText="1"/>
    </xf>
    <xf numFmtId="0" fontId="120" fillId="0" borderId="0" xfId="1523" applyFont="1" applyAlignment="1">
      <alignment horizontal="center" wrapText="1"/>
    </xf>
    <xf numFmtId="0" fontId="108" fillId="0" borderId="0" xfId="1523" applyFont="1" applyAlignment="1">
      <alignment horizontal="center"/>
    </xf>
    <xf numFmtId="0" fontId="108" fillId="0" borderId="0" xfId="1523" quotePrefix="1" applyFont="1" applyAlignment="1">
      <alignment horizontal="center"/>
    </xf>
    <xf numFmtId="169" fontId="86" fillId="64" borderId="0" xfId="1523" applyNumberFormat="1" applyFont="1" applyFill="1" applyAlignment="1">
      <alignment horizontal="center"/>
    </xf>
    <xf numFmtId="164" fontId="86" fillId="64" borderId="0" xfId="1523" applyNumberFormat="1" applyFont="1" applyFill="1"/>
    <xf numFmtId="169" fontId="0" fillId="0" borderId="0" xfId="0" applyNumberFormat="1"/>
    <xf numFmtId="169" fontId="86" fillId="0" borderId="0" xfId="1523" applyNumberFormat="1" applyFont="1" applyAlignment="1">
      <alignment horizontal="center"/>
    </xf>
    <xf numFmtId="164" fontId="86" fillId="0" borderId="0" xfId="1523" applyNumberFormat="1" applyFont="1"/>
    <xf numFmtId="169" fontId="86" fillId="70" borderId="0" xfId="1523" applyNumberFormat="1" applyFont="1" applyFill="1" applyAlignment="1">
      <alignment horizontal="center"/>
    </xf>
    <xf numFmtId="164" fontId="86" fillId="70" borderId="0" xfId="1523" applyNumberFormat="1" applyFont="1" applyFill="1"/>
    <xf numFmtId="167" fontId="2" fillId="70" borderId="0" xfId="276" applyNumberFormat="1" applyFont="1" applyFill="1" applyBorder="1"/>
    <xf numFmtId="176" fontId="2" fillId="0" borderId="0" xfId="276" applyNumberFormat="1" applyFont="1" applyFill="1" applyBorder="1"/>
    <xf numFmtId="167" fontId="2" fillId="70" borderId="1" xfId="276" applyNumberFormat="1" applyFont="1" applyFill="1" applyBorder="1"/>
    <xf numFmtId="41" fontId="2" fillId="70" borderId="1" xfId="276" applyNumberFormat="1" applyFont="1" applyFill="1" applyBorder="1"/>
    <xf numFmtId="167" fontId="86" fillId="0" borderId="0" xfId="1523" applyNumberFormat="1" applyFont="1"/>
    <xf numFmtId="0" fontId="107" fillId="0" borderId="0" xfId="0" applyFont="1"/>
    <xf numFmtId="0" fontId="108" fillId="0" borderId="0" xfId="1523" applyFont="1"/>
    <xf numFmtId="0" fontId="110" fillId="0" borderId="0" xfId="0" applyFont="1" applyAlignment="1">
      <alignment horizontal="right"/>
    </xf>
    <xf numFmtId="0" fontId="110" fillId="0" borderId="0" xfId="0" applyFont="1" applyAlignment="1">
      <alignment horizontal="center"/>
    </xf>
    <xf numFmtId="0" fontId="111" fillId="0" borderId="0" xfId="0" applyFont="1" applyAlignment="1">
      <alignment horizontal="right"/>
    </xf>
    <xf numFmtId="5" fontId="107" fillId="0" borderId="0" xfId="0" applyNumberFormat="1" applyFont="1"/>
    <xf numFmtId="0" fontId="0" fillId="0" borderId="0" xfId="0" applyAlignment="1">
      <alignment horizontal="right"/>
    </xf>
    <xf numFmtId="0" fontId="119" fillId="0" borderId="0" xfId="0" quotePrefix="1" applyFont="1"/>
    <xf numFmtId="0" fontId="103" fillId="0" borderId="0" xfId="0" applyFont="1" applyAlignment="1">
      <alignment horizontal="left"/>
    </xf>
    <xf numFmtId="1" fontId="0" fillId="0" borderId="0" xfId="0" applyNumberFormat="1"/>
    <xf numFmtId="0" fontId="99" fillId="0" borderId="0" xfId="0" quotePrefix="1" applyFont="1" applyAlignment="1">
      <alignment horizontal="center"/>
    </xf>
    <xf numFmtId="5" fontId="103" fillId="0" borderId="0" xfId="0" applyNumberFormat="1" applyFont="1"/>
    <xf numFmtId="0" fontId="118" fillId="0" borderId="0" xfId="0" applyFont="1" applyAlignment="1">
      <alignment horizontal="left"/>
    </xf>
    <xf numFmtId="1" fontId="113" fillId="67" borderId="0" xfId="1378" applyNumberFormat="1" applyFont="1" applyFill="1" applyAlignment="1">
      <alignment horizontal="center"/>
    </xf>
    <xf numFmtId="164" fontId="113" fillId="68" borderId="0" xfId="1378" applyNumberFormat="1" applyFont="1" applyFill="1"/>
    <xf numFmtId="49" fontId="103" fillId="0" borderId="0" xfId="1523" applyNumberFormat="1"/>
    <xf numFmtId="0" fontId="103" fillId="0" borderId="0" xfId="1523" applyAlignment="1">
      <alignment horizontal="left"/>
    </xf>
    <xf numFmtId="0" fontId="103" fillId="0" borderId="0" xfId="1523"/>
    <xf numFmtId="173" fontId="109" fillId="0" borderId="10" xfId="0" applyNumberFormat="1" applyFont="1" applyBorder="1"/>
    <xf numFmtId="170" fontId="109" fillId="0" borderId="0" xfId="0" applyNumberFormat="1" applyFont="1"/>
    <xf numFmtId="170" fontId="109" fillId="0" borderId="0" xfId="0" applyNumberFormat="1" applyFont="1" applyAlignment="1">
      <alignment horizontal="right"/>
    </xf>
    <xf numFmtId="199" fontId="109" fillId="0" borderId="0" xfId="0" applyNumberFormat="1" applyFont="1"/>
    <xf numFmtId="0" fontId="2" fillId="0" borderId="0" xfId="1497" applyFont="1" applyAlignment="1">
      <alignment vertical="top"/>
    </xf>
    <xf numFmtId="0" fontId="2" fillId="0" borderId="0" xfId="1378" applyAlignment="1">
      <alignment vertical="center"/>
    </xf>
    <xf numFmtId="0" fontId="86" fillId="0" borderId="0" xfId="1497" applyFont="1" applyAlignment="1">
      <alignment vertical="top"/>
    </xf>
    <xf numFmtId="41" fontId="2" fillId="0" borderId="0" xfId="1497" applyNumberFormat="1" applyFont="1" applyAlignment="1">
      <alignment vertical="center"/>
    </xf>
    <xf numFmtId="41" fontId="2" fillId="0" borderId="1" xfId="1497" applyNumberFormat="1" applyFont="1" applyBorder="1" applyAlignment="1">
      <alignment vertical="center"/>
    </xf>
    <xf numFmtId="41" fontId="2" fillId="0" borderId="10" xfId="1497" applyNumberFormat="1" applyFont="1" applyBorder="1"/>
    <xf numFmtId="0" fontId="2" fillId="0" borderId="0" xfId="1497" applyFont="1"/>
    <xf numFmtId="41" fontId="86" fillId="0" borderId="0" xfId="1497" applyNumberFormat="1" applyFont="1" applyAlignment="1">
      <alignment vertical="top"/>
    </xf>
    <xf numFmtId="0" fontId="2" fillId="0" borderId="0" xfId="1391" applyAlignment="1">
      <alignment vertical="center"/>
    </xf>
    <xf numFmtId="10" fontId="2" fillId="0" borderId="0" xfId="1391" applyNumberFormat="1" applyAlignment="1">
      <alignment horizontal="left" vertical="center"/>
    </xf>
    <xf numFmtId="10" fontId="2" fillId="0" borderId="1" xfId="0" quotePrefix="1" applyNumberFormat="1" applyFont="1" applyBorder="1" applyAlignment="1">
      <alignment horizontal="center"/>
    </xf>
    <xf numFmtId="0" fontId="2" fillId="0" borderId="0" xfId="0" applyFont="1"/>
    <xf numFmtId="42" fontId="103" fillId="0" borderId="0" xfId="562" applyNumberFormat="1" applyFont="1" applyFill="1" applyAlignment="1"/>
    <xf numFmtId="0" fontId="103" fillId="0" borderId="0" xfId="0" applyFont="1" applyAlignment="1">
      <alignment vertical="center"/>
    </xf>
    <xf numFmtId="0" fontId="116" fillId="0" borderId="0" xfId="0" applyFont="1" applyAlignment="1">
      <alignment horizontal="right"/>
    </xf>
    <xf numFmtId="3" fontId="103" fillId="0" borderId="0" xfId="0" applyNumberFormat="1" applyFont="1"/>
    <xf numFmtId="41" fontId="113" fillId="0" borderId="1" xfId="276" applyNumberFormat="1" applyFont="1" applyFill="1" applyBorder="1" applyAlignment="1">
      <alignment horizontal="right"/>
    </xf>
    <xf numFmtId="167" fontId="113" fillId="0" borderId="1" xfId="276" applyNumberFormat="1" applyFont="1" applyFill="1" applyBorder="1" applyAlignment="1">
      <alignment horizontal="right"/>
    </xf>
    <xf numFmtId="167" fontId="113" fillId="0" borderId="1" xfId="276" applyNumberFormat="1" applyFont="1" applyFill="1" applyBorder="1"/>
    <xf numFmtId="0" fontId="126" fillId="0" borderId="0" xfId="0" applyFont="1"/>
    <xf numFmtId="0" fontId="127" fillId="0" borderId="0" xfId="0" applyFont="1"/>
    <xf numFmtId="0" fontId="126" fillId="0" borderId="0" xfId="0" quotePrefix="1" applyFont="1"/>
    <xf numFmtId="0" fontId="126" fillId="0" borderId="0" xfId="0" applyFont="1" applyAlignment="1">
      <alignment horizontal="center"/>
    </xf>
    <xf numFmtId="0" fontId="128" fillId="0" borderId="0" xfId="0" applyFont="1"/>
    <xf numFmtId="167" fontId="126" fillId="0" borderId="0" xfId="0" quotePrefix="1" applyNumberFormat="1" applyFont="1"/>
    <xf numFmtId="167" fontId="126" fillId="0" borderId="0" xfId="0" applyNumberFormat="1" applyFont="1"/>
    <xf numFmtId="0" fontId="128" fillId="0" borderId="0" xfId="0" applyFont="1" applyAlignment="1">
      <alignment horizontal="left" indent="1"/>
    </xf>
    <xf numFmtId="0" fontId="129" fillId="0" borderId="0" xfId="1523" applyFont="1" applyAlignment="1">
      <alignment horizontal="center"/>
    </xf>
    <xf numFmtId="0" fontId="130" fillId="0" borderId="0" xfId="1523" applyFont="1" applyAlignment="1">
      <alignment horizontal="right"/>
    </xf>
    <xf numFmtId="0" fontId="131" fillId="0" borderId="0" xfId="0" applyFont="1"/>
    <xf numFmtId="0" fontId="131" fillId="0" borderId="0" xfId="0" applyFont="1" applyAlignment="1">
      <alignment horizontal="center"/>
    </xf>
    <xf numFmtId="0" fontId="125" fillId="0" borderId="0" xfId="1378" applyFont="1" applyAlignment="1">
      <alignment horizontal="left"/>
    </xf>
    <xf numFmtId="0" fontId="125" fillId="0" borderId="0" xfId="1378" applyFont="1" applyAlignment="1">
      <alignment horizontal="left" indent="1"/>
    </xf>
    <xf numFmtId="0" fontId="126" fillId="0" borderId="0" xfId="0" applyFont="1" applyAlignment="1">
      <alignment horizontal="left" indent="1"/>
    </xf>
    <xf numFmtId="167" fontId="126" fillId="0" borderId="10" xfId="0" applyNumberFormat="1" applyFont="1" applyBorder="1"/>
    <xf numFmtId="0" fontId="126" fillId="0" borderId="1" xfId="0" applyFont="1" applyBorder="1" applyAlignment="1">
      <alignment horizontal="center"/>
    </xf>
    <xf numFmtId="166" fontId="126" fillId="0" borderId="0" xfId="0" applyNumberFormat="1" applyFont="1"/>
    <xf numFmtId="10" fontId="126" fillId="0" borderId="0" xfId="0" applyNumberFormat="1" applyFont="1"/>
    <xf numFmtId="42" fontId="126" fillId="0" borderId="10" xfId="0" applyNumberFormat="1" applyFont="1" applyBorder="1"/>
    <xf numFmtId="0" fontId="123" fillId="0" borderId="0" xfId="0" applyFont="1" applyAlignment="1">
      <alignment horizontal="center"/>
    </xf>
    <xf numFmtId="0" fontId="122" fillId="0" borderId="0" xfId="0" applyFont="1" applyAlignment="1">
      <alignment horizontal="center"/>
    </xf>
    <xf numFmtId="0" fontId="4" fillId="0" borderId="1" xfId="1378" applyFont="1" applyBorder="1" applyAlignment="1">
      <alignment horizontal="center"/>
    </xf>
    <xf numFmtId="0" fontId="0" fillId="0" borderId="19" xfId="0" applyBorder="1"/>
    <xf numFmtId="0" fontId="122" fillId="0" borderId="0" xfId="0" quotePrefix="1" applyFont="1" applyAlignment="1">
      <alignment horizontal="center"/>
    </xf>
    <xf numFmtId="0" fontId="108" fillId="0" borderId="0" xfId="1523" applyFont="1" applyAlignment="1">
      <alignment horizontal="center"/>
    </xf>
    <xf numFmtId="0" fontId="117" fillId="0" borderId="0" xfId="0" applyFont="1" applyAlignment="1">
      <alignment horizontal="center"/>
    </xf>
    <xf numFmtId="0" fontId="118" fillId="0" borderId="0" xfId="0" applyFont="1" applyAlignment="1">
      <alignment horizontal="center"/>
    </xf>
  </cellXfs>
  <cellStyles count="1934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4" xfId="5" xr:uid="{00000000-0005-0000-0000-000004000000}"/>
    <cellStyle name="20% - Accent1 2 5" xfId="6" xr:uid="{00000000-0005-0000-0000-000005000000}"/>
    <cellStyle name="20% - Accent1 2 6" xfId="7" xr:uid="{00000000-0005-0000-0000-000006000000}"/>
    <cellStyle name="20% - Accent1 2 7" xfId="8" xr:uid="{00000000-0005-0000-0000-000007000000}"/>
    <cellStyle name="20% - Accent1 2 8" xfId="9" xr:uid="{00000000-0005-0000-0000-000008000000}"/>
    <cellStyle name="20% - Accent1 3" xfId="10" xr:uid="{00000000-0005-0000-0000-000009000000}"/>
    <cellStyle name="20% - Accent1 4" xfId="11" xr:uid="{00000000-0005-0000-0000-00000A000000}"/>
    <cellStyle name="20% - Accent2" xfId="12" builtinId="34" customBuiltin="1"/>
    <cellStyle name="20% - Accent2 2" xfId="13" xr:uid="{00000000-0005-0000-0000-00000C000000}"/>
    <cellStyle name="20% - Accent2 2 2" xfId="14" xr:uid="{00000000-0005-0000-0000-00000D000000}"/>
    <cellStyle name="20% - Accent2 2 3" xfId="15" xr:uid="{00000000-0005-0000-0000-00000E000000}"/>
    <cellStyle name="20% - Accent2 2 4" xfId="16" xr:uid="{00000000-0005-0000-0000-00000F000000}"/>
    <cellStyle name="20% - Accent2 2 5" xfId="17" xr:uid="{00000000-0005-0000-0000-000010000000}"/>
    <cellStyle name="20% - Accent2 2 6" xfId="18" xr:uid="{00000000-0005-0000-0000-000011000000}"/>
    <cellStyle name="20% - Accent2 2 7" xfId="19" xr:uid="{00000000-0005-0000-0000-000012000000}"/>
    <cellStyle name="20% - Accent2 2 8" xfId="20" xr:uid="{00000000-0005-0000-0000-000013000000}"/>
    <cellStyle name="20% - Accent2 3" xfId="21" xr:uid="{00000000-0005-0000-0000-000014000000}"/>
    <cellStyle name="20% - Accent2 4" xfId="22" xr:uid="{00000000-0005-0000-0000-000015000000}"/>
    <cellStyle name="20% - Accent3" xfId="23" builtinId="38" customBuiltin="1"/>
    <cellStyle name="20% - Accent3 2" xfId="24" xr:uid="{00000000-0005-0000-0000-000017000000}"/>
    <cellStyle name="20% - Accent3 2 2" xfId="25" xr:uid="{00000000-0005-0000-0000-000018000000}"/>
    <cellStyle name="20% - Accent3 2 3" xfId="26" xr:uid="{00000000-0005-0000-0000-000019000000}"/>
    <cellStyle name="20% - Accent3 2 4" xfId="27" xr:uid="{00000000-0005-0000-0000-00001A000000}"/>
    <cellStyle name="20% - Accent3 2 5" xfId="28" xr:uid="{00000000-0005-0000-0000-00001B000000}"/>
    <cellStyle name="20% - Accent3 2 6" xfId="29" xr:uid="{00000000-0005-0000-0000-00001C000000}"/>
    <cellStyle name="20% - Accent3 2 7" xfId="30" xr:uid="{00000000-0005-0000-0000-00001D000000}"/>
    <cellStyle name="20% - Accent3 2 8" xfId="31" xr:uid="{00000000-0005-0000-0000-00001E000000}"/>
    <cellStyle name="20% - Accent3 3" xfId="32" xr:uid="{00000000-0005-0000-0000-00001F000000}"/>
    <cellStyle name="20% - Accent3 4" xfId="33" xr:uid="{00000000-0005-0000-0000-000020000000}"/>
    <cellStyle name="20% - Accent4" xfId="34" builtinId="42" customBuiltin="1"/>
    <cellStyle name="20% - Accent4 2" xfId="35" xr:uid="{00000000-0005-0000-0000-000022000000}"/>
    <cellStyle name="20% - Accent4 2 2" xfId="36" xr:uid="{00000000-0005-0000-0000-000023000000}"/>
    <cellStyle name="20% - Accent4 2 3" xfId="37" xr:uid="{00000000-0005-0000-0000-000024000000}"/>
    <cellStyle name="20% - Accent4 2 4" xfId="38" xr:uid="{00000000-0005-0000-0000-000025000000}"/>
    <cellStyle name="20% - Accent4 2 5" xfId="39" xr:uid="{00000000-0005-0000-0000-000026000000}"/>
    <cellStyle name="20% - Accent4 2 6" xfId="40" xr:uid="{00000000-0005-0000-0000-000027000000}"/>
    <cellStyle name="20% - Accent4 2 7" xfId="41" xr:uid="{00000000-0005-0000-0000-000028000000}"/>
    <cellStyle name="20% - Accent4 2 8" xfId="42" xr:uid="{00000000-0005-0000-0000-000029000000}"/>
    <cellStyle name="20% - Accent4 3" xfId="43" xr:uid="{00000000-0005-0000-0000-00002A000000}"/>
    <cellStyle name="20% - Accent4 4" xfId="44" xr:uid="{00000000-0005-0000-0000-00002B000000}"/>
    <cellStyle name="20% - Accent5" xfId="45" builtinId="46" customBuiltin="1"/>
    <cellStyle name="20% - Accent5 2" xfId="46" xr:uid="{00000000-0005-0000-0000-00002D000000}"/>
    <cellStyle name="20% - Accent5 2 2" xfId="47" xr:uid="{00000000-0005-0000-0000-00002E000000}"/>
    <cellStyle name="20% - Accent5 2 3" xfId="48" xr:uid="{00000000-0005-0000-0000-00002F000000}"/>
    <cellStyle name="20% - Accent5 2 4" xfId="49" xr:uid="{00000000-0005-0000-0000-000030000000}"/>
    <cellStyle name="20% - Accent5 2 5" xfId="50" xr:uid="{00000000-0005-0000-0000-000031000000}"/>
    <cellStyle name="20% - Accent5 3" xfId="51" xr:uid="{00000000-0005-0000-0000-000032000000}"/>
    <cellStyle name="20% - Accent5 4" xfId="52" xr:uid="{00000000-0005-0000-0000-000033000000}"/>
    <cellStyle name="20% - Accent6" xfId="53" builtinId="50" customBuiltin="1"/>
    <cellStyle name="20% - Accent6 2" xfId="54" xr:uid="{00000000-0005-0000-0000-000035000000}"/>
    <cellStyle name="20% - Accent6 2 2" xfId="55" xr:uid="{00000000-0005-0000-0000-000036000000}"/>
    <cellStyle name="20% - Accent6 2 3" xfId="56" xr:uid="{00000000-0005-0000-0000-000037000000}"/>
    <cellStyle name="20% - Accent6 2 4" xfId="57" xr:uid="{00000000-0005-0000-0000-000038000000}"/>
    <cellStyle name="20% - Accent6 2 5" xfId="58" xr:uid="{00000000-0005-0000-0000-000039000000}"/>
    <cellStyle name="20% - Accent6 2 6" xfId="59" xr:uid="{00000000-0005-0000-0000-00003A000000}"/>
    <cellStyle name="20% - Accent6 2 7" xfId="60" xr:uid="{00000000-0005-0000-0000-00003B000000}"/>
    <cellStyle name="20% - Accent6 2 8" xfId="61" xr:uid="{00000000-0005-0000-0000-00003C000000}"/>
    <cellStyle name="20% - Accent6 3" xfId="62" xr:uid="{00000000-0005-0000-0000-00003D000000}"/>
    <cellStyle name="20% - Accent6 4" xfId="63" xr:uid="{00000000-0005-0000-0000-00003E000000}"/>
    <cellStyle name="40% - Accent1" xfId="64" builtinId="31" customBuiltin="1"/>
    <cellStyle name="40% - Accent1 2" xfId="65" xr:uid="{00000000-0005-0000-0000-000040000000}"/>
    <cellStyle name="40% - Accent1 2 2" xfId="66" xr:uid="{00000000-0005-0000-0000-000041000000}"/>
    <cellStyle name="40% - Accent1 2 3" xfId="67" xr:uid="{00000000-0005-0000-0000-000042000000}"/>
    <cellStyle name="40% - Accent1 2 4" xfId="68" xr:uid="{00000000-0005-0000-0000-000043000000}"/>
    <cellStyle name="40% - Accent1 2 5" xfId="69" xr:uid="{00000000-0005-0000-0000-000044000000}"/>
    <cellStyle name="40% - Accent1 2 6" xfId="70" xr:uid="{00000000-0005-0000-0000-000045000000}"/>
    <cellStyle name="40% - Accent1 2 7" xfId="71" xr:uid="{00000000-0005-0000-0000-000046000000}"/>
    <cellStyle name="40% - Accent1 2 8" xfId="72" xr:uid="{00000000-0005-0000-0000-000047000000}"/>
    <cellStyle name="40% - Accent1 3" xfId="73" xr:uid="{00000000-0005-0000-0000-000048000000}"/>
    <cellStyle name="40% - Accent1 4" xfId="74" xr:uid="{00000000-0005-0000-0000-000049000000}"/>
    <cellStyle name="40% - Accent2" xfId="75" builtinId="35" customBuiltin="1"/>
    <cellStyle name="40% - Accent2 2" xfId="76" xr:uid="{00000000-0005-0000-0000-00004B000000}"/>
    <cellStyle name="40% - Accent2 2 2" xfId="77" xr:uid="{00000000-0005-0000-0000-00004C000000}"/>
    <cellStyle name="40% - Accent2 2 3" xfId="78" xr:uid="{00000000-0005-0000-0000-00004D000000}"/>
    <cellStyle name="40% - Accent2 2 4" xfId="79" xr:uid="{00000000-0005-0000-0000-00004E000000}"/>
    <cellStyle name="40% - Accent2 2 5" xfId="80" xr:uid="{00000000-0005-0000-0000-00004F000000}"/>
    <cellStyle name="40% - Accent2 3" xfId="81" xr:uid="{00000000-0005-0000-0000-000050000000}"/>
    <cellStyle name="40% - Accent2 4" xfId="82" xr:uid="{00000000-0005-0000-0000-000051000000}"/>
    <cellStyle name="40% - Accent3" xfId="83" builtinId="39" customBuiltin="1"/>
    <cellStyle name="40% - Accent3 2" xfId="84" xr:uid="{00000000-0005-0000-0000-000053000000}"/>
    <cellStyle name="40% - Accent3 2 2" xfId="85" xr:uid="{00000000-0005-0000-0000-000054000000}"/>
    <cellStyle name="40% - Accent3 2 3" xfId="86" xr:uid="{00000000-0005-0000-0000-000055000000}"/>
    <cellStyle name="40% - Accent3 2 4" xfId="87" xr:uid="{00000000-0005-0000-0000-000056000000}"/>
    <cellStyle name="40% - Accent3 2 5" xfId="88" xr:uid="{00000000-0005-0000-0000-000057000000}"/>
    <cellStyle name="40% - Accent3 2 6" xfId="89" xr:uid="{00000000-0005-0000-0000-000058000000}"/>
    <cellStyle name="40% - Accent3 2 7" xfId="90" xr:uid="{00000000-0005-0000-0000-000059000000}"/>
    <cellStyle name="40% - Accent3 2 8" xfId="91" xr:uid="{00000000-0005-0000-0000-00005A000000}"/>
    <cellStyle name="40% - Accent3 3" xfId="92" xr:uid="{00000000-0005-0000-0000-00005B000000}"/>
    <cellStyle name="40% - Accent3 4" xfId="93" xr:uid="{00000000-0005-0000-0000-00005C000000}"/>
    <cellStyle name="40% - Accent4" xfId="94" builtinId="43" customBuiltin="1"/>
    <cellStyle name="40% - Accent4 2" xfId="95" xr:uid="{00000000-0005-0000-0000-00005E000000}"/>
    <cellStyle name="40% - Accent4 2 2" xfId="96" xr:uid="{00000000-0005-0000-0000-00005F000000}"/>
    <cellStyle name="40% - Accent4 2 3" xfId="97" xr:uid="{00000000-0005-0000-0000-000060000000}"/>
    <cellStyle name="40% - Accent4 2 4" xfId="98" xr:uid="{00000000-0005-0000-0000-000061000000}"/>
    <cellStyle name="40% - Accent4 2 5" xfId="99" xr:uid="{00000000-0005-0000-0000-000062000000}"/>
    <cellStyle name="40% - Accent4 2 6" xfId="100" xr:uid="{00000000-0005-0000-0000-000063000000}"/>
    <cellStyle name="40% - Accent4 2 7" xfId="101" xr:uid="{00000000-0005-0000-0000-000064000000}"/>
    <cellStyle name="40% - Accent4 2 8" xfId="102" xr:uid="{00000000-0005-0000-0000-000065000000}"/>
    <cellStyle name="40% - Accent4 3" xfId="103" xr:uid="{00000000-0005-0000-0000-000066000000}"/>
    <cellStyle name="40% - Accent4 4" xfId="104" xr:uid="{00000000-0005-0000-0000-000067000000}"/>
    <cellStyle name="40% - Accent5" xfId="105" builtinId="47" customBuiltin="1"/>
    <cellStyle name="40% - Accent5 2" xfId="106" xr:uid="{00000000-0005-0000-0000-000069000000}"/>
    <cellStyle name="40% - Accent5 2 2" xfId="107" xr:uid="{00000000-0005-0000-0000-00006A000000}"/>
    <cellStyle name="40% - Accent5 2 3" xfId="108" xr:uid="{00000000-0005-0000-0000-00006B000000}"/>
    <cellStyle name="40% - Accent5 2 4" xfId="109" xr:uid="{00000000-0005-0000-0000-00006C000000}"/>
    <cellStyle name="40% - Accent5 2 5" xfId="110" xr:uid="{00000000-0005-0000-0000-00006D000000}"/>
    <cellStyle name="40% - Accent5 2 6" xfId="111" xr:uid="{00000000-0005-0000-0000-00006E000000}"/>
    <cellStyle name="40% - Accent5 2 7" xfId="112" xr:uid="{00000000-0005-0000-0000-00006F000000}"/>
    <cellStyle name="40% - Accent5 2 8" xfId="113" xr:uid="{00000000-0005-0000-0000-000070000000}"/>
    <cellStyle name="40% - Accent5 3" xfId="114" xr:uid="{00000000-0005-0000-0000-000071000000}"/>
    <cellStyle name="40% - Accent5 4" xfId="115" xr:uid="{00000000-0005-0000-0000-000072000000}"/>
    <cellStyle name="40% - Accent6" xfId="116" builtinId="51" customBuiltin="1"/>
    <cellStyle name="40% - Accent6 2" xfId="117" xr:uid="{00000000-0005-0000-0000-000074000000}"/>
    <cellStyle name="40% - Accent6 2 2" xfId="118" xr:uid="{00000000-0005-0000-0000-000075000000}"/>
    <cellStyle name="40% - Accent6 2 3" xfId="119" xr:uid="{00000000-0005-0000-0000-000076000000}"/>
    <cellStyle name="40% - Accent6 2 4" xfId="120" xr:uid="{00000000-0005-0000-0000-000077000000}"/>
    <cellStyle name="40% - Accent6 2 5" xfId="121" xr:uid="{00000000-0005-0000-0000-000078000000}"/>
    <cellStyle name="40% - Accent6 2 6" xfId="122" xr:uid="{00000000-0005-0000-0000-000079000000}"/>
    <cellStyle name="40% - Accent6 2 7" xfId="123" xr:uid="{00000000-0005-0000-0000-00007A000000}"/>
    <cellStyle name="40% - Accent6 2 8" xfId="124" xr:uid="{00000000-0005-0000-0000-00007B000000}"/>
    <cellStyle name="40% - Accent6 3" xfId="125" xr:uid="{00000000-0005-0000-0000-00007C000000}"/>
    <cellStyle name="40% - Accent6 4" xfId="126" xr:uid="{00000000-0005-0000-0000-00007D000000}"/>
    <cellStyle name="60% - Accent1" xfId="127" builtinId="32" customBuiltin="1"/>
    <cellStyle name="60% - Accent1 2" xfId="128" xr:uid="{00000000-0005-0000-0000-00007F000000}"/>
    <cellStyle name="60% - Accent1 2 2" xfId="129" xr:uid="{00000000-0005-0000-0000-000080000000}"/>
    <cellStyle name="60% - Accent1 2 3" xfId="130" xr:uid="{00000000-0005-0000-0000-000081000000}"/>
    <cellStyle name="60% - Accent1 2 4" xfId="131" xr:uid="{00000000-0005-0000-0000-000082000000}"/>
    <cellStyle name="60% - Accent2" xfId="132" builtinId="36" customBuiltin="1"/>
    <cellStyle name="60% - Accent2 2" xfId="133" xr:uid="{00000000-0005-0000-0000-000084000000}"/>
    <cellStyle name="60% - Accent2 2 2" xfId="134" xr:uid="{00000000-0005-0000-0000-000085000000}"/>
    <cellStyle name="60% - Accent2 2 3" xfId="135" xr:uid="{00000000-0005-0000-0000-000086000000}"/>
    <cellStyle name="60% - Accent2 2 4" xfId="136" xr:uid="{00000000-0005-0000-0000-000087000000}"/>
    <cellStyle name="60% - Accent3" xfId="137" builtinId="40" customBuiltin="1"/>
    <cellStyle name="60% - Accent3 2" xfId="138" xr:uid="{00000000-0005-0000-0000-000089000000}"/>
    <cellStyle name="60% - Accent3 2 2" xfId="139" xr:uid="{00000000-0005-0000-0000-00008A000000}"/>
    <cellStyle name="60% - Accent3 2 3" xfId="140" xr:uid="{00000000-0005-0000-0000-00008B000000}"/>
    <cellStyle name="60% - Accent3 2 4" xfId="141" xr:uid="{00000000-0005-0000-0000-00008C000000}"/>
    <cellStyle name="60% - Accent4" xfId="142" builtinId="44" customBuiltin="1"/>
    <cellStyle name="60% - Accent4 2" xfId="143" xr:uid="{00000000-0005-0000-0000-00008E000000}"/>
    <cellStyle name="60% - Accent4 2 2" xfId="144" xr:uid="{00000000-0005-0000-0000-00008F000000}"/>
    <cellStyle name="60% - Accent4 2 3" xfId="145" xr:uid="{00000000-0005-0000-0000-000090000000}"/>
    <cellStyle name="60% - Accent4 2 4" xfId="146" xr:uid="{00000000-0005-0000-0000-000091000000}"/>
    <cellStyle name="60% - Accent5" xfId="147" builtinId="48" customBuiltin="1"/>
    <cellStyle name="60% - Accent5 2" xfId="148" xr:uid="{00000000-0005-0000-0000-000093000000}"/>
    <cellStyle name="60% - Accent5 2 2" xfId="149" xr:uid="{00000000-0005-0000-0000-000094000000}"/>
    <cellStyle name="60% - Accent5 2 3" xfId="150" xr:uid="{00000000-0005-0000-0000-000095000000}"/>
    <cellStyle name="60% - Accent5 2 4" xfId="151" xr:uid="{00000000-0005-0000-0000-000096000000}"/>
    <cellStyle name="60% - Accent6" xfId="152" builtinId="52" customBuiltin="1"/>
    <cellStyle name="60% - Accent6 2" xfId="153" xr:uid="{00000000-0005-0000-0000-000098000000}"/>
    <cellStyle name="60% - Accent6 2 2" xfId="154" xr:uid="{00000000-0005-0000-0000-000099000000}"/>
    <cellStyle name="60% - Accent6 2 3" xfId="155" xr:uid="{00000000-0005-0000-0000-00009A000000}"/>
    <cellStyle name="60% - Accent6 2 4" xfId="156" xr:uid="{00000000-0005-0000-0000-00009B000000}"/>
    <cellStyle name="Accent1" xfId="157" builtinId="29" customBuiltin="1"/>
    <cellStyle name="Accent1 2" xfId="158" xr:uid="{00000000-0005-0000-0000-00009D000000}"/>
    <cellStyle name="Accent1 2 2" xfId="159" xr:uid="{00000000-0005-0000-0000-00009E000000}"/>
    <cellStyle name="Accent1 2 3" xfId="160" xr:uid="{00000000-0005-0000-0000-00009F000000}"/>
    <cellStyle name="Accent1 2 4" xfId="161" xr:uid="{00000000-0005-0000-0000-0000A0000000}"/>
    <cellStyle name="Accent2" xfId="162" builtinId="33" customBuiltin="1"/>
    <cellStyle name="Accent2 2" xfId="163" xr:uid="{00000000-0005-0000-0000-0000A2000000}"/>
    <cellStyle name="Accent2 2 2" xfId="164" xr:uid="{00000000-0005-0000-0000-0000A3000000}"/>
    <cellStyle name="Accent2 2 3" xfId="165" xr:uid="{00000000-0005-0000-0000-0000A4000000}"/>
    <cellStyle name="Accent2 2 4" xfId="166" xr:uid="{00000000-0005-0000-0000-0000A5000000}"/>
    <cellStyle name="Accent3" xfId="167" builtinId="37" customBuiltin="1"/>
    <cellStyle name="Accent3 2" xfId="168" xr:uid="{00000000-0005-0000-0000-0000A7000000}"/>
    <cellStyle name="Accent3 2 2" xfId="169" xr:uid="{00000000-0005-0000-0000-0000A8000000}"/>
    <cellStyle name="Accent3 2 3" xfId="170" xr:uid="{00000000-0005-0000-0000-0000A9000000}"/>
    <cellStyle name="Accent3 2 4" xfId="171" xr:uid="{00000000-0005-0000-0000-0000AA000000}"/>
    <cellStyle name="Accent4" xfId="172" builtinId="41" customBuiltin="1"/>
    <cellStyle name="Accent4 2" xfId="173" xr:uid="{00000000-0005-0000-0000-0000AC000000}"/>
    <cellStyle name="Accent4 2 2" xfId="174" xr:uid="{00000000-0005-0000-0000-0000AD000000}"/>
    <cellStyle name="Accent4 2 3" xfId="175" xr:uid="{00000000-0005-0000-0000-0000AE000000}"/>
    <cellStyle name="Accent4 2 4" xfId="176" xr:uid="{00000000-0005-0000-0000-0000AF000000}"/>
    <cellStyle name="Accent5" xfId="177" builtinId="45" customBuiltin="1"/>
    <cellStyle name="Accent5 2" xfId="178" xr:uid="{00000000-0005-0000-0000-0000B1000000}"/>
    <cellStyle name="Accent6" xfId="179" builtinId="49" customBuiltin="1"/>
    <cellStyle name="Accent6 2" xfId="180" xr:uid="{00000000-0005-0000-0000-0000B3000000}"/>
    <cellStyle name="Accent6 2 2" xfId="181" xr:uid="{00000000-0005-0000-0000-0000B4000000}"/>
    <cellStyle name="Accent6 2 3" xfId="182" xr:uid="{00000000-0005-0000-0000-0000B5000000}"/>
    <cellStyle name="Accent6 2 4" xfId="183" xr:uid="{00000000-0005-0000-0000-0000B6000000}"/>
    <cellStyle name="AccountClassificationTotalRowBalanceCol" xfId="184" xr:uid="{00000000-0005-0000-0000-0000B7000000}"/>
    <cellStyle name="AccountClassificationTotalRowDescCol" xfId="185" xr:uid="{00000000-0005-0000-0000-0000B8000000}"/>
    <cellStyle name="AccountClassificationTotalRowJERefCol" xfId="186" xr:uid="{00000000-0005-0000-0000-0000B9000000}"/>
    <cellStyle name="AccountClassificationTotalRowNameCol" xfId="187" xr:uid="{00000000-0005-0000-0000-0000BA000000}"/>
    <cellStyle name="AccountClassificationTotalRowSpacerCol" xfId="188" xr:uid="{00000000-0005-0000-0000-0000BB000000}"/>
    <cellStyle name="AccountClassificationTotalRowVarPectCol" xfId="189" xr:uid="{00000000-0005-0000-0000-0000BC000000}"/>
    <cellStyle name="AccountClassificationTotalRowWPRefCol" xfId="190" xr:uid="{00000000-0005-0000-0000-0000BD000000}"/>
    <cellStyle name="AccountDetailRowBalanceCol" xfId="191" xr:uid="{00000000-0005-0000-0000-0000BE000000}"/>
    <cellStyle name="AccountDetailRowBalanceColNegative" xfId="192" xr:uid="{00000000-0005-0000-0000-0000BF000000}"/>
    <cellStyle name="AccountDetailRowDescCol" xfId="193" xr:uid="{00000000-0005-0000-0000-0000C0000000}"/>
    <cellStyle name="AccountDetailRowJERefCol" xfId="194" xr:uid="{00000000-0005-0000-0000-0000C1000000}"/>
    <cellStyle name="AccountDetailRowNameCol" xfId="195" xr:uid="{00000000-0005-0000-0000-0000C2000000}"/>
    <cellStyle name="AccountDetailRowSpacerCol" xfId="196" xr:uid="{00000000-0005-0000-0000-0000C3000000}"/>
    <cellStyle name="AccountDetailRowVarPectCol" xfId="197" xr:uid="{00000000-0005-0000-0000-0000C4000000}"/>
    <cellStyle name="AccountDetailRowWPRefCol" xfId="198" xr:uid="{00000000-0005-0000-0000-0000C5000000}"/>
    <cellStyle name="AccountNetIncomeLossRowBalanceCol" xfId="199" xr:uid="{00000000-0005-0000-0000-0000C6000000}"/>
    <cellStyle name="AccountNetIncomeLossRowDescCol" xfId="200" xr:uid="{00000000-0005-0000-0000-0000C7000000}"/>
    <cellStyle name="AccountNetIncomeLossRowJERefCol" xfId="201" xr:uid="{00000000-0005-0000-0000-0000C8000000}"/>
    <cellStyle name="AccountNetIncomeLossRowNameCol" xfId="202" xr:uid="{00000000-0005-0000-0000-0000C9000000}"/>
    <cellStyle name="AccountNetIncomeLossRowSpacerCol" xfId="203" xr:uid="{00000000-0005-0000-0000-0000CA000000}"/>
    <cellStyle name="AccountNetIncomeLossRowWPRefCol" xfId="204" xr:uid="{00000000-0005-0000-0000-0000CB000000}"/>
    <cellStyle name="AccountTotalBalanceCol" xfId="205" xr:uid="{00000000-0005-0000-0000-0000CC000000}"/>
    <cellStyle name="AccountTotalDescCol" xfId="206" xr:uid="{00000000-0005-0000-0000-0000CD000000}"/>
    <cellStyle name="AccountTotalDetailRowBalanceCol" xfId="207" xr:uid="{00000000-0005-0000-0000-0000CE000000}"/>
    <cellStyle name="AccountTotalDetailRowDescCol" xfId="208" xr:uid="{00000000-0005-0000-0000-0000CF000000}"/>
    <cellStyle name="AccountTotalDetailRowJERefCol" xfId="209" xr:uid="{00000000-0005-0000-0000-0000D0000000}"/>
    <cellStyle name="AccountTotalDetailRowNameCol" xfId="210" xr:uid="{00000000-0005-0000-0000-0000D1000000}"/>
    <cellStyle name="AccountTotalDetailRowSpacerCol" xfId="211" xr:uid="{00000000-0005-0000-0000-0000D2000000}"/>
    <cellStyle name="AccountTotalDetailRowVarPectCol" xfId="212" xr:uid="{00000000-0005-0000-0000-0000D3000000}"/>
    <cellStyle name="AccountTotalDetailRowWPRefCol" xfId="213" xr:uid="{00000000-0005-0000-0000-0000D4000000}"/>
    <cellStyle name="AccountTotalJERefCol" xfId="214" xr:uid="{00000000-0005-0000-0000-0000D5000000}"/>
    <cellStyle name="AccountTotalNameCol" xfId="215" xr:uid="{00000000-0005-0000-0000-0000D6000000}"/>
    <cellStyle name="AccountTotalVarPectCol" xfId="216" xr:uid="{00000000-0005-0000-0000-0000D7000000}"/>
    <cellStyle name="AccountTotalWPRefCol" xfId="217" xr:uid="{00000000-0005-0000-0000-0000D8000000}"/>
    <cellStyle name="AccountTypeTotalRowBalanceCol" xfId="218" xr:uid="{00000000-0005-0000-0000-0000D9000000}"/>
    <cellStyle name="AccountTypeTotalRowDescCol" xfId="219" xr:uid="{00000000-0005-0000-0000-0000DA000000}"/>
    <cellStyle name="AccountTypeTotalRowJERefCol" xfId="220" xr:uid="{00000000-0005-0000-0000-0000DB000000}"/>
    <cellStyle name="AccountTypeTotalRowNameCol" xfId="221" xr:uid="{00000000-0005-0000-0000-0000DC000000}"/>
    <cellStyle name="AccountTypeTotalRowSpacerCol" xfId="222" xr:uid="{00000000-0005-0000-0000-0000DD000000}"/>
    <cellStyle name="AccountTypeTotalRowVarPectCol" xfId="223" xr:uid="{00000000-0005-0000-0000-0000DE000000}"/>
    <cellStyle name="AccountTypeTotalRowWPRefCol" xfId="224" xr:uid="{00000000-0005-0000-0000-0000DF000000}"/>
    <cellStyle name="Amount" xfId="225" xr:uid="{00000000-0005-0000-0000-0000E0000000}"/>
    <cellStyle name="Amt_Percent Ctr" xfId="226" xr:uid="{00000000-0005-0000-0000-0000E1000000}"/>
    <cellStyle name="Bad" xfId="227" builtinId="27" customBuiltin="1"/>
    <cellStyle name="Bad 2" xfId="228" xr:uid="{00000000-0005-0000-0000-0000E3000000}"/>
    <cellStyle name="Bad 2 2" xfId="229" xr:uid="{00000000-0005-0000-0000-0000E4000000}"/>
    <cellStyle name="Bad 2 3" xfId="230" xr:uid="{00000000-0005-0000-0000-0000E5000000}"/>
    <cellStyle name="Bad 2 4" xfId="231" xr:uid="{00000000-0005-0000-0000-0000E6000000}"/>
    <cellStyle name="BlankRow" xfId="232" xr:uid="{00000000-0005-0000-0000-0000E7000000}"/>
    <cellStyle name="BlankRowJERefCol" xfId="233" xr:uid="{00000000-0005-0000-0000-0000E8000000}"/>
    <cellStyle name="BlueInt" xfId="1919" xr:uid="{B473BAC9-E499-45A7-AD81-4A0EEE3F33FA}"/>
    <cellStyle name="Calculation" xfId="234" builtinId="22" customBuiltin="1"/>
    <cellStyle name="Calculation 2" xfId="235" xr:uid="{00000000-0005-0000-0000-0000EA000000}"/>
    <cellStyle name="Calculation 2 2" xfId="236" xr:uid="{00000000-0005-0000-0000-0000EB000000}"/>
    <cellStyle name="Calculation 2 3" xfId="237" xr:uid="{00000000-0005-0000-0000-0000EC000000}"/>
    <cellStyle name="Calculation 2 4" xfId="238" xr:uid="{00000000-0005-0000-0000-0000ED000000}"/>
    <cellStyle name="CBF$Number" xfId="239" xr:uid="{00000000-0005-0000-0000-0000EE000000}"/>
    <cellStyle name="CBFFundName" xfId="240" xr:uid="{00000000-0005-0000-0000-0000EF000000}"/>
    <cellStyle name="CBFHeader" xfId="241" xr:uid="{00000000-0005-0000-0000-0000F0000000}"/>
    <cellStyle name="CBFNumber" xfId="242" xr:uid="{00000000-0005-0000-0000-0000F1000000}"/>
    <cellStyle name="CBFSectionTitle" xfId="243" xr:uid="{00000000-0005-0000-0000-0000F2000000}"/>
    <cellStyle name="CBFSectionTotal" xfId="244" xr:uid="{00000000-0005-0000-0000-0000F3000000}"/>
    <cellStyle name="CBFText" xfId="245" xr:uid="{00000000-0005-0000-0000-0000F4000000}"/>
    <cellStyle name="Centered Heading_Saurer balance sheet 98" xfId="1920" xr:uid="{2F98ADF6-5910-492F-8A08-F9D0A665478C}"/>
    <cellStyle name="CenterHead" xfId="246" xr:uid="{00000000-0005-0000-0000-0000F5000000}"/>
    <cellStyle name="Check Cell" xfId="247" builtinId="23" customBuiltin="1"/>
    <cellStyle name="Check Cell 2" xfId="248" xr:uid="{00000000-0005-0000-0000-0000F7000000}"/>
    <cellStyle name="ClassifiedGroupTotalRowBalanceCol" xfId="249" xr:uid="{00000000-0005-0000-0000-0000F8000000}"/>
    <cellStyle name="ClassifiedGroupTotalRowDescCol" xfId="250" xr:uid="{00000000-0005-0000-0000-0000F9000000}"/>
    <cellStyle name="ClassifiedGroupTotalRowJERefCol" xfId="251" xr:uid="{00000000-0005-0000-0000-0000FA000000}"/>
    <cellStyle name="ClassifiedGroupTotalRowNameCol" xfId="252" xr:uid="{00000000-0005-0000-0000-0000FB000000}"/>
    <cellStyle name="ClassifiedGroupTotalRowSpacerCol" xfId="253" xr:uid="{00000000-0005-0000-0000-0000FC000000}"/>
    <cellStyle name="ClassifiedGroupTotalRowVarPectCol" xfId="254" xr:uid="{00000000-0005-0000-0000-0000FD000000}"/>
    <cellStyle name="ClassifiedGroupTotalRowWPRefCol" xfId="255" xr:uid="{00000000-0005-0000-0000-0000FE000000}"/>
    <cellStyle name="Column CtrAcross" xfId="256" xr:uid="{00000000-0005-0000-0000-0000FF000000}"/>
    <cellStyle name="Column_Center" xfId="257" xr:uid="{00000000-0005-0000-0000-000000010000}"/>
    <cellStyle name="ColumnHeader" xfId="258" xr:uid="{00000000-0005-0000-0000-000001010000}"/>
    <cellStyle name="ColumnHeaderRowBalanceCol" xfId="259" xr:uid="{00000000-0005-0000-0000-000002010000}"/>
    <cellStyle name="ColumnHeaderRowBlankCol" xfId="260" xr:uid="{00000000-0005-0000-0000-000003010000}"/>
    <cellStyle name="ColumnHeaderRowCreditCol" xfId="261" xr:uid="{00000000-0005-0000-0000-000004010000}"/>
    <cellStyle name="ColumnHeaderRowDebitCol" xfId="262" xr:uid="{00000000-0005-0000-0000-000005010000}"/>
    <cellStyle name="ColumnHeaderRowDescCol" xfId="263" xr:uid="{00000000-0005-0000-0000-000006010000}"/>
    <cellStyle name="ColumnHeaderRowJERefCol" xfId="264" xr:uid="{00000000-0005-0000-0000-000007010000}"/>
    <cellStyle name="ColumnHeaderRowNameCol" xfId="265" xr:uid="{00000000-0005-0000-0000-000008010000}"/>
    <cellStyle name="ColumnHeaderRowSpacerCol" xfId="266" xr:uid="{00000000-0005-0000-0000-000009010000}"/>
    <cellStyle name="ColumnHeaderRowVarPectCol" xfId="267" xr:uid="{00000000-0005-0000-0000-00000A010000}"/>
    <cellStyle name="ColumnHeaderRowWPRefCol" xfId="268" xr:uid="{00000000-0005-0000-0000-00000B010000}"/>
    <cellStyle name="ColumnMetadataRowBalanceCol" xfId="269" xr:uid="{00000000-0005-0000-0000-00000C010000}"/>
    <cellStyle name="ColumnMetadataRowDescCol" xfId="270" xr:uid="{00000000-0005-0000-0000-00000D010000}"/>
    <cellStyle name="ColumnMetadataRowJERefCol" xfId="271" xr:uid="{00000000-0005-0000-0000-00000E010000}"/>
    <cellStyle name="ColumnMetadataRowNameCol" xfId="272" xr:uid="{00000000-0005-0000-0000-00000F010000}"/>
    <cellStyle name="ColumnMetadataRowSpacerCol" xfId="273" xr:uid="{00000000-0005-0000-0000-000010010000}"/>
    <cellStyle name="ColumnMetadataRowVarPectCol" xfId="274" xr:uid="{00000000-0005-0000-0000-000011010000}"/>
    <cellStyle name="ColumnMetadataRowWPRefCol" xfId="275" xr:uid="{00000000-0005-0000-0000-000012010000}"/>
    <cellStyle name="Comma" xfId="276" builtinId="3"/>
    <cellStyle name="Comma %" xfId="277" xr:uid="{00000000-0005-0000-0000-000014010000}"/>
    <cellStyle name="Comma 0.0" xfId="278" xr:uid="{00000000-0005-0000-0000-000015010000}"/>
    <cellStyle name="Comma 0.00" xfId="279" xr:uid="{00000000-0005-0000-0000-000016010000}"/>
    <cellStyle name="Comma 10" xfId="280" xr:uid="{00000000-0005-0000-0000-000017010000}"/>
    <cellStyle name="Comma 10 2" xfId="281" xr:uid="{00000000-0005-0000-0000-000018010000}"/>
    <cellStyle name="Comma 10 2 2" xfId="282" xr:uid="{00000000-0005-0000-0000-000019010000}"/>
    <cellStyle name="Comma 11" xfId="283" xr:uid="{00000000-0005-0000-0000-00001A010000}"/>
    <cellStyle name="Comma 11 2" xfId="284" xr:uid="{00000000-0005-0000-0000-00001B010000}"/>
    <cellStyle name="Comma 11 3" xfId="285" xr:uid="{00000000-0005-0000-0000-00001C010000}"/>
    <cellStyle name="Comma 12" xfId="286" xr:uid="{00000000-0005-0000-0000-00001D010000}"/>
    <cellStyle name="Comma 13" xfId="287" xr:uid="{00000000-0005-0000-0000-00001E010000}"/>
    <cellStyle name="Comma 13 2" xfId="288" xr:uid="{00000000-0005-0000-0000-00001F010000}"/>
    <cellStyle name="Comma 14" xfId="289" xr:uid="{00000000-0005-0000-0000-000020010000}"/>
    <cellStyle name="Comma 14 2" xfId="290" xr:uid="{00000000-0005-0000-0000-000021010000}"/>
    <cellStyle name="Comma 14 2 2" xfId="291" xr:uid="{00000000-0005-0000-0000-000022010000}"/>
    <cellStyle name="Comma 14 2 2 2" xfId="292" xr:uid="{00000000-0005-0000-0000-000023010000}"/>
    <cellStyle name="Comma 14 2 2 2 2" xfId="293" xr:uid="{00000000-0005-0000-0000-000024010000}"/>
    <cellStyle name="Comma 14 2 2 3" xfId="294" xr:uid="{00000000-0005-0000-0000-000025010000}"/>
    <cellStyle name="Comma 14 2 3" xfId="295" xr:uid="{00000000-0005-0000-0000-000026010000}"/>
    <cellStyle name="Comma 14 2 3 2" xfId="296" xr:uid="{00000000-0005-0000-0000-000027010000}"/>
    <cellStyle name="Comma 14 2 4" xfId="297" xr:uid="{00000000-0005-0000-0000-000028010000}"/>
    <cellStyle name="Comma 14 2 4 2" xfId="298" xr:uid="{00000000-0005-0000-0000-000029010000}"/>
    <cellStyle name="Comma 14 2 5" xfId="299" xr:uid="{00000000-0005-0000-0000-00002A010000}"/>
    <cellStyle name="Comma 14 3" xfId="300" xr:uid="{00000000-0005-0000-0000-00002B010000}"/>
    <cellStyle name="Comma 14 3 2" xfId="301" xr:uid="{00000000-0005-0000-0000-00002C010000}"/>
    <cellStyle name="Comma 14 3 2 2" xfId="302" xr:uid="{00000000-0005-0000-0000-00002D010000}"/>
    <cellStyle name="Comma 14 3 3" xfId="303" xr:uid="{00000000-0005-0000-0000-00002E010000}"/>
    <cellStyle name="Comma 14 3 3 2" xfId="304" xr:uid="{00000000-0005-0000-0000-00002F010000}"/>
    <cellStyle name="Comma 14 3 4" xfId="305" xr:uid="{00000000-0005-0000-0000-000030010000}"/>
    <cellStyle name="Comma 14 4" xfId="306" xr:uid="{00000000-0005-0000-0000-000031010000}"/>
    <cellStyle name="Comma 14 4 2" xfId="307" xr:uid="{00000000-0005-0000-0000-000032010000}"/>
    <cellStyle name="Comma 14 4 2 2" xfId="308" xr:uid="{00000000-0005-0000-0000-000033010000}"/>
    <cellStyle name="Comma 14 4 3" xfId="309" xr:uid="{00000000-0005-0000-0000-000034010000}"/>
    <cellStyle name="Comma 14 5" xfId="310" xr:uid="{00000000-0005-0000-0000-000035010000}"/>
    <cellStyle name="Comma 14 5 2" xfId="311" xr:uid="{00000000-0005-0000-0000-000036010000}"/>
    <cellStyle name="Comma 14 6" xfId="312" xr:uid="{00000000-0005-0000-0000-000037010000}"/>
    <cellStyle name="Comma 14 6 2" xfId="313" xr:uid="{00000000-0005-0000-0000-000038010000}"/>
    <cellStyle name="Comma 14 7" xfId="314" xr:uid="{00000000-0005-0000-0000-000039010000}"/>
    <cellStyle name="Comma 15" xfId="315" xr:uid="{00000000-0005-0000-0000-00003A010000}"/>
    <cellStyle name="Comma 15 2" xfId="316" xr:uid="{00000000-0005-0000-0000-00003B010000}"/>
    <cellStyle name="Comma 15 2 2" xfId="317" xr:uid="{00000000-0005-0000-0000-00003C010000}"/>
    <cellStyle name="Comma 15 3" xfId="318" xr:uid="{00000000-0005-0000-0000-00003D010000}"/>
    <cellStyle name="Comma 16" xfId="319" xr:uid="{00000000-0005-0000-0000-00003E010000}"/>
    <cellStyle name="Comma 16 2" xfId="320" xr:uid="{00000000-0005-0000-0000-00003F010000}"/>
    <cellStyle name="Comma 16 2 2" xfId="321" xr:uid="{00000000-0005-0000-0000-000040010000}"/>
    <cellStyle name="Comma 16 3" xfId="322" xr:uid="{00000000-0005-0000-0000-000041010000}"/>
    <cellStyle name="Comma 17" xfId="323" xr:uid="{00000000-0005-0000-0000-000042010000}"/>
    <cellStyle name="Comma 17 2" xfId="324" xr:uid="{00000000-0005-0000-0000-000043010000}"/>
    <cellStyle name="Comma 17 2 2" xfId="325" xr:uid="{00000000-0005-0000-0000-000044010000}"/>
    <cellStyle name="Comma 17 3" xfId="326" xr:uid="{00000000-0005-0000-0000-000045010000}"/>
    <cellStyle name="Comma 18" xfId="327" xr:uid="{00000000-0005-0000-0000-000046010000}"/>
    <cellStyle name="Comma 18 2" xfId="328" xr:uid="{00000000-0005-0000-0000-000047010000}"/>
    <cellStyle name="Comma 18 2 2" xfId="329" xr:uid="{00000000-0005-0000-0000-000048010000}"/>
    <cellStyle name="Comma 18 3" xfId="330" xr:uid="{00000000-0005-0000-0000-000049010000}"/>
    <cellStyle name="Comma 19" xfId="331" xr:uid="{00000000-0005-0000-0000-00004A010000}"/>
    <cellStyle name="Comma 19 2" xfId="332" xr:uid="{00000000-0005-0000-0000-00004B010000}"/>
    <cellStyle name="Comma 19 2 2" xfId="333" xr:uid="{00000000-0005-0000-0000-00004C010000}"/>
    <cellStyle name="Comma 19 3" xfId="334" xr:uid="{00000000-0005-0000-0000-00004D010000}"/>
    <cellStyle name="Comma 2" xfId="335" xr:uid="{00000000-0005-0000-0000-00004E010000}"/>
    <cellStyle name="Comma 2 10" xfId="336" xr:uid="{00000000-0005-0000-0000-00004F010000}"/>
    <cellStyle name="Comma 2 10 2" xfId="337" xr:uid="{00000000-0005-0000-0000-000050010000}"/>
    <cellStyle name="Comma 2 11" xfId="338" xr:uid="{00000000-0005-0000-0000-000051010000}"/>
    <cellStyle name="Comma 2 12" xfId="339" xr:uid="{00000000-0005-0000-0000-000052010000}"/>
    <cellStyle name="Comma 2 12 2" xfId="340" xr:uid="{00000000-0005-0000-0000-000053010000}"/>
    <cellStyle name="Comma 2 13" xfId="341" xr:uid="{00000000-0005-0000-0000-000054010000}"/>
    <cellStyle name="Comma 2 2" xfId="342" xr:uid="{00000000-0005-0000-0000-000055010000}"/>
    <cellStyle name="Comma 2 2 2" xfId="343" xr:uid="{00000000-0005-0000-0000-000056010000}"/>
    <cellStyle name="Comma 2 2 2 2" xfId="344" xr:uid="{00000000-0005-0000-0000-000057010000}"/>
    <cellStyle name="Comma 2 2 2 2 2" xfId="345" xr:uid="{00000000-0005-0000-0000-000058010000}"/>
    <cellStyle name="Comma 2 2 2 3" xfId="346" xr:uid="{00000000-0005-0000-0000-000059010000}"/>
    <cellStyle name="Comma 2 2 3" xfId="347" xr:uid="{00000000-0005-0000-0000-00005A010000}"/>
    <cellStyle name="Comma 2 2 3 2" xfId="348" xr:uid="{00000000-0005-0000-0000-00005B010000}"/>
    <cellStyle name="Comma 2 2 4" xfId="349" xr:uid="{00000000-0005-0000-0000-00005C010000}"/>
    <cellStyle name="Comma 2 2 4 2" xfId="350" xr:uid="{00000000-0005-0000-0000-00005D010000}"/>
    <cellStyle name="Comma 2 2 5" xfId="351" xr:uid="{00000000-0005-0000-0000-00005E010000}"/>
    <cellStyle name="Comma 2 2 5 2" xfId="352" xr:uid="{00000000-0005-0000-0000-00005F010000}"/>
    <cellStyle name="Comma 2 2 6" xfId="353" xr:uid="{00000000-0005-0000-0000-000060010000}"/>
    <cellStyle name="Comma 2 3" xfId="354" xr:uid="{00000000-0005-0000-0000-000061010000}"/>
    <cellStyle name="Comma 2 3 2" xfId="355" xr:uid="{00000000-0005-0000-0000-000062010000}"/>
    <cellStyle name="Comma 2 3 2 2" xfId="356" xr:uid="{00000000-0005-0000-0000-000063010000}"/>
    <cellStyle name="Comma 2 3 2 3" xfId="357" xr:uid="{00000000-0005-0000-0000-000064010000}"/>
    <cellStyle name="Comma 2 3 3" xfId="358" xr:uid="{00000000-0005-0000-0000-000065010000}"/>
    <cellStyle name="Comma 2 3 3 2" xfId="359" xr:uid="{00000000-0005-0000-0000-000066010000}"/>
    <cellStyle name="Comma 2 3 4" xfId="360" xr:uid="{00000000-0005-0000-0000-000067010000}"/>
    <cellStyle name="Comma 2 4" xfId="361" xr:uid="{00000000-0005-0000-0000-000068010000}"/>
    <cellStyle name="Comma 2 4 2" xfId="362" xr:uid="{00000000-0005-0000-0000-000069010000}"/>
    <cellStyle name="Comma 2 4 2 2" xfId="363" xr:uid="{00000000-0005-0000-0000-00006A010000}"/>
    <cellStyle name="Comma 2 5" xfId="364" xr:uid="{00000000-0005-0000-0000-00006B010000}"/>
    <cellStyle name="Comma 2 5 2" xfId="365" xr:uid="{00000000-0005-0000-0000-00006C010000}"/>
    <cellStyle name="Comma 2 6" xfId="366" xr:uid="{00000000-0005-0000-0000-00006D010000}"/>
    <cellStyle name="Comma 2 7" xfId="367" xr:uid="{00000000-0005-0000-0000-00006E010000}"/>
    <cellStyle name="Comma 2 8" xfId="368" xr:uid="{00000000-0005-0000-0000-00006F010000}"/>
    <cellStyle name="Comma 2 8 2" xfId="369" xr:uid="{00000000-0005-0000-0000-000070010000}"/>
    <cellStyle name="Comma 2 9" xfId="370" xr:uid="{00000000-0005-0000-0000-000071010000}"/>
    <cellStyle name="Comma 2 9 2" xfId="371" xr:uid="{00000000-0005-0000-0000-000072010000}"/>
    <cellStyle name="Comma 20" xfId="372" xr:uid="{00000000-0005-0000-0000-000073010000}"/>
    <cellStyle name="Comma 20 2" xfId="373" xr:uid="{00000000-0005-0000-0000-000074010000}"/>
    <cellStyle name="Comma 21" xfId="374" xr:uid="{00000000-0005-0000-0000-000075010000}"/>
    <cellStyle name="Comma 21 2" xfId="375" xr:uid="{00000000-0005-0000-0000-000076010000}"/>
    <cellStyle name="Comma 22" xfId="376" xr:uid="{00000000-0005-0000-0000-000077010000}"/>
    <cellStyle name="Comma 23" xfId="377" xr:uid="{00000000-0005-0000-0000-000078010000}"/>
    <cellStyle name="Comma 24" xfId="378" xr:uid="{00000000-0005-0000-0000-000079010000}"/>
    <cellStyle name="Comma 25" xfId="379" xr:uid="{00000000-0005-0000-0000-00007A010000}"/>
    <cellStyle name="Comma 26" xfId="380" xr:uid="{00000000-0005-0000-0000-00007B010000}"/>
    <cellStyle name="Comma 27" xfId="381" xr:uid="{00000000-0005-0000-0000-00007C010000}"/>
    <cellStyle name="Comma 28" xfId="382" xr:uid="{00000000-0005-0000-0000-00007D010000}"/>
    <cellStyle name="Comma 29" xfId="1916" xr:uid="{D2014814-B0A5-4CA9-A1F4-EA8B627D89DA}"/>
    <cellStyle name="Comma 3" xfId="383" xr:uid="{00000000-0005-0000-0000-00007E010000}"/>
    <cellStyle name="Comma 3 2" xfId="384" xr:uid="{00000000-0005-0000-0000-00007F010000}"/>
    <cellStyle name="Comma 3 2 2" xfId="385" xr:uid="{00000000-0005-0000-0000-000080010000}"/>
    <cellStyle name="Comma 3 2 2 2" xfId="386" xr:uid="{00000000-0005-0000-0000-000081010000}"/>
    <cellStyle name="Comma 3 2 3" xfId="387" xr:uid="{00000000-0005-0000-0000-000082010000}"/>
    <cellStyle name="Comma 3 2 3 2" xfId="388" xr:uid="{00000000-0005-0000-0000-000083010000}"/>
    <cellStyle name="Comma 3 2 4" xfId="389" xr:uid="{00000000-0005-0000-0000-000084010000}"/>
    <cellStyle name="Comma 3 2 4 2" xfId="390" xr:uid="{00000000-0005-0000-0000-000085010000}"/>
    <cellStyle name="Comma 3 2 5" xfId="391" xr:uid="{00000000-0005-0000-0000-000086010000}"/>
    <cellStyle name="Comma 3 2 5 2" xfId="392" xr:uid="{00000000-0005-0000-0000-000087010000}"/>
    <cellStyle name="Comma 3 2 6" xfId="393" xr:uid="{00000000-0005-0000-0000-000088010000}"/>
    <cellStyle name="Comma 3 2 7" xfId="394" xr:uid="{00000000-0005-0000-0000-000089010000}"/>
    <cellStyle name="Comma 3 2 8" xfId="395" xr:uid="{00000000-0005-0000-0000-00008A010000}"/>
    <cellStyle name="Comma 3 3" xfId="396" xr:uid="{00000000-0005-0000-0000-00008B010000}"/>
    <cellStyle name="Comma 3 3 2" xfId="397" xr:uid="{00000000-0005-0000-0000-00008C010000}"/>
    <cellStyle name="Comma 3 3 3" xfId="398" xr:uid="{00000000-0005-0000-0000-00008D010000}"/>
    <cellStyle name="Comma 3 3 3 2" xfId="399" xr:uid="{00000000-0005-0000-0000-00008E010000}"/>
    <cellStyle name="Comma 3 4" xfId="400" xr:uid="{00000000-0005-0000-0000-00008F010000}"/>
    <cellStyle name="Comma 3 4 2" xfId="401" xr:uid="{00000000-0005-0000-0000-000090010000}"/>
    <cellStyle name="Comma 3 5" xfId="402" xr:uid="{00000000-0005-0000-0000-000091010000}"/>
    <cellStyle name="Comma 3 6" xfId="403" xr:uid="{00000000-0005-0000-0000-000092010000}"/>
    <cellStyle name="Comma 3 6 2" xfId="404" xr:uid="{00000000-0005-0000-0000-000093010000}"/>
    <cellStyle name="Comma 3 7" xfId="405" xr:uid="{00000000-0005-0000-0000-000094010000}"/>
    <cellStyle name="Comma 3 8" xfId="406" xr:uid="{00000000-0005-0000-0000-000095010000}"/>
    <cellStyle name="Comma 30" xfId="1931" xr:uid="{4DCE5678-AD70-46E9-93E9-798C2EE718C8}"/>
    <cellStyle name="Comma 31" xfId="1933" xr:uid="{94F32F04-3913-4953-8016-7B6928E83AD6}"/>
    <cellStyle name="Comma 4" xfId="407" xr:uid="{00000000-0005-0000-0000-000096010000}"/>
    <cellStyle name="Comma 4 2" xfId="408" xr:uid="{00000000-0005-0000-0000-000097010000}"/>
    <cellStyle name="Comma 4 2 2" xfId="409" xr:uid="{00000000-0005-0000-0000-000098010000}"/>
    <cellStyle name="Comma 4 2 3" xfId="410" xr:uid="{00000000-0005-0000-0000-000099010000}"/>
    <cellStyle name="Comma 4 3" xfId="411" xr:uid="{00000000-0005-0000-0000-00009A010000}"/>
    <cellStyle name="Comma 4 3 2" xfId="412" xr:uid="{00000000-0005-0000-0000-00009B010000}"/>
    <cellStyle name="Comma 4 3 2 2" xfId="413" xr:uid="{00000000-0005-0000-0000-00009C010000}"/>
    <cellStyle name="Comma 4 3 2 2 2" xfId="414" xr:uid="{00000000-0005-0000-0000-00009D010000}"/>
    <cellStyle name="Comma 4 3 2 3" xfId="415" xr:uid="{00000000-0005-0000-0000-00009E010000}"/>
    <cellStyle name="Comma 4 3 3" xfId="416" xr:uid="{00000000-0005-0000-0000-00009F010000}"/>
    <cellStyle name="Comma 4 4" xfId="417" xr:uid="{00000000-0005-0000-0000-0000A0010000}"/>
    <cellStyle name="Comma 4 5" xfId="418" xr:uid="{00000000-0005-0000-0000-0000A1010000}"/>
    <cellStyle name="Comma 4 5 2" xfId="419" xr:uid="{00000000-0005-0000-0000-0000A2010000}"/>
    <cellStyle name="Comma 4 6" xfId="420" xr:uid="{00000000-0005-0000-0000-0000A3010000}"/>
    <cellStyle name="Comma 5" xfId="421" xr:uid="{00000000-0005-0000-0000-0000A4010000}"/>
    <cellStyle name="Comma 5 2" xfId="422" xr:uid="{00000000-0005-0000-0000-0000A5010000}"/>
    <cellStyle name="Comma 5 2 2" xfId="423" xr:uid="{00000000-0005-0000-0000-0000A6010000}"/>
    <cellStyle name="Comma 5 2 2 2" xfId="424" xr:uid="{00000000-0005-0000-0000-0000A7010000}"/>
    <cellStyle name="Comma 5 2 3" xfId="425" xr:uid="{00000000-0005-0000-0000-0000A8010000}"/>
    <cellStyle name="Comma 5 2 4" xfId="426" xr:uid="{00000000-0005-0000-0000-0000A9010000}"/>
    <cellStyle name="Comma 5 3" xfId="427" xr:uid="{00000000-0005-0000-0000-0000AA010000}"/>
    <cellStyle name="Comma 5 3 2" xfId="428" xr:uid="{00000000-0005-0000-0000-0000AB010000}"/>
    <cellStyle name="Comma 5 3 3" xfId="429" xr:uid="{00000000-0005-0000-0000-0000AC010000}"/>
    <cellStyle name="Comma 5 4" xfId="430" xr:uid="{00000000-0005-0000-0000-0000AD010000}"/>
    <cellStyle name="Comma 5 5" xfId="431" xr:uid="{00000000-0005-0000-0000-0000AE010000}"/>
    <cellStyle name="Comma 5 5 2" xfId="432" xr:uid="{00000000-0005-0000-0000-0000AF010000}"/>
    <cellStyle name="Comma 5 6" xfId="433" xr:uid="{00000000-0005-0000-0000-0000B0010000}"/>
    <cellStyle name="Comma 6" xfId="434" xr:uid="{00000000-0005-0000-0000-0000B1010000}"/>
    <cellStyle name="Comma 6 2" xfId="435" xr:uid="{00000000-0005-0000-0000-0000B2010000}"/>
    <cellStyle name="Comma 6 2 2" xfId="436" xr:uid="{00000000-0005-0000-0000-0000B3010000}"/>
    <cellStyle name="Comma 6 2 2 2" xfId="437" xr:uid="{00000000-0005-0000-0000-0000B4010000}"/>
    <cellStyle name="Comma 6 2 3" xfId="438" xr:uid="{00000000-0005-0000-0000-0000B5010000}"/>
    <cellStyle name="Comma 6 2 4" xfId="439" xr:uid="{00000000-0005-0000-0000-0000B6010000}"/>
    <cellStyle name="Comma 6 2 5" xfId="440" xr:uid="{00000000-0005-0000-0000-0000B7010000}"/>
    <cellStyle name="Comma 6 3" xfId="441" xr:uid="{00000000-0005-0000-0000-0000B8010000}"/>
    <cellStyle name="Comma 6 3 2" xfId="442" xr:uid="{00000000-0005-0000-0000-0000B9010000}"/>
    <cellStyle name="Comma 6 3 2 2" xfId="443" xr:uid="{00000000-0005-0000-0000-0000BA010000}"/>
    <cellStyle name="Comma 6 4" xfId="444" xr:uid="{00000000-0005-0000-0000-0000BB010000}"/>
    <cellStyle name="Comma 6 5" xfId="445" xr:uid="{00000000-0005-0000-0000-0000BC010000}"/>
    <cellStyle name="Comma 6 5 2" xfId="446" xr:uid="{00000000-0005-0000-0000-0000BD010000}"/>
    <cellStyle name="Comma 6 6" xfId="447" xr:uid="{00000000-0005-0000-0000-0000BE010000}"/>
    <cellStyle name="Comma 6 7" xfId="448" xr:uid="{00000000-0005-0000-0000-0000BF010000}"/>
    <cellStyle name="Comma 6 8" xfId="449" xr:uid="{00000000-0005-0000-0000-0000C0010000}"/>
    <cellStyle name="Comma 6 9" xfId="450" xr:uid="{00000000-0005-0000-0000-0000C1010000}"/>
    <cellStyle name="Comma 7" xfId="451" xr:uid="{00000000-0005-0000-0000-0000C2010000}"/>
    <cellStyle name="Comma 7 2" xfId="452" xr:uid="{00000000-0005-0000-0000-0000C3010000}"/>
    <cellStyle name="Comma 7 2 2" xfId="453" xr:uid="{00000000-0005-0000-0000-0000C4010000}"/>
    <cellStyle name="Comma 7 3" xfId="454" xr:uid="{00000000-0005-0000-0000-0000C5010000}"/>
    <cellStyle name="Comma 7 4" xfId="455" xr:uid="{00000000-0005-0000-0000-0000C6010000}"/>
    <cellStyle name="Comma 8" xfId="456" xr:uid="{00000000-0005-0000-0000-0000C7010000}"/>
    <cellStyle name="Comma 8 2" xfId="457" xr:uid="{00000000-0005-0000-0000-0000C8010000}"/>
    <cellStyle name="Comma 8 2 2" xfId="458" xr:uid="{00000000-0005-0000-0000-0000C9010000}"/>
    <cellStyle name="Comma 8 2 2 2" xfId="459" xr:uid="{00000000-0005-0000-0000-0000CA010000}"/>
    <cellStyle name="Comma 8 2 2 2 2" xfId="460" xr:uid="{00000000-0005-0000-0000-0000CB010000}"/>
    <cellStyle name="Comma 8 2 2 2 2 2" xfId="461" xr:uid="{00000000-0005-0000-0000-0000CC010000}"/>
    <cellStyle name="Comma 8 2 2 2 3" xfId="462" xr:uid="{00000000-0005-0000-0000-0000CD010000}"/>
    <cellStyle name="Comma 8 2 2 3" xfId="463" xr:uid="{00000000-0005-0000-0000-0000CE010000}"/>
    <cellStyle name="Comma 8 2 2 3 2" xfId="464" xr:uid="{00000000-0005-0000-0000-0000CF010000}"/>
    <cellStyle name="Comma 8 2 2 4" xfId="465" xr:uid="{00000000-0005-0000-0000-0000D0010000}"/>
    <cellStyle name="Comma 8 2 2 4 2" xfId="466" xr:uid="{00000000-0005-0000-0000-0000D1010000}"/>
    <cellStyle name="Comma 8 2 2 5" xfId="467" xr:uid="{00000000-0005-0000-0000-0000D2010000}"/>
    <cellStyle name="Comma 8 2 3" xfId="468" xr:uid="{00000000-0005-0000-0000-0000D3010000}"/>
    <cellStyle name="Comma 8 2 3 2" xfId="469" xr:uid="{00000000-0005-0000-0000-0000D4010000}"/>
    <cellStyle name="Comma 8 2 3 2 2" xfId="470" xr:uid="{00000000-0005-0000-0000-0000D5010000}"/>
    <cellStyle name="Comma 8 2 3 3" xfId="471" xr:uid="{00000000-0005-0000-0000-0000D6010000}"/>
    <cellStyle name="Comma 8 2 3 3 2" xfId="472" xr:uid="{00000000-0005-0000-0000-0000D7010000}"/>
    <cellStyle name="Comma 8 2 3 4" xfId="473" xr:uid="{00000000-0005-0000-0000-0000D8010000}"/>
    <cellStyle name="Comma 8 2 4" xfId="474" xr:uid="{00000000-0005-0000-0000-0000D9010000}"/>
    <cellStyle name="Comma 8 2 4 2" xfId="475" xr:uid="{00000000-0005-0000-0000-0000DA010000}"/>
    <cellStyle name="Comma 8 2 4 2 2" xfId="476" xr:uid="{00000000-0005-0000-0000-0000DB010000}"/>
    <cellStyle name="Comma 8 2 4 3" xfId="477" xr:uid="{00000000-0005-0000-0000-0000DC010000}"/>
    <cellStyle name="Comma 8 2 5" xfId="478" xr:uid="{00000000-0005-0000-0000-0000DD010000}"/>
    <cellStyle name="Comma 8 2 5 2" xfId="479" xr:uid="{00000000-0005-0000-0000-0000DE010000}"/>
    <cellStyle name="Comma 8 2 5 2 2" xfId="480" xr:uid="{00000000-0005-0000-0000-0000DF010000}"/>
    <cellStyle name="Comma 8 2 5 3" xfId="481" xr:uid="{00000000-0005-0000-0000-0000E0010000}"/>
    <cellStyle name="Comma 8 2 6" xfId="482" xr:uid="{00000000-0005-0000-0000-0000E1010000}"/>
    <cellStyle name="Comma 8 2 6 2" xfId="483" xr:uid="{00000000-0005-0000-0000-0000E2010000}"/>
    <cellStyle name="Comma 8 2 7" xfId="484" xr:uid="{00000000-0005-0000-0000-0000E3010000}"/>
    <cellStyle name="Comma 8 2 7 2" xfId="485" xr:uid="{00000000-0005-0000-0000-0000E4010000}"/>
    <cellStyle name="Comma 8 2 8" xfId="486" xr:uid="{00000000-0005-0000-0000-0000E5010000}"/>
    <cellStyle name="Comma 8 3" xfId="487" xr:uid="{00000000-0005-0000-0000-0000E6010000}"/>
    <cellStyle name="Comma 8 3 2" xfId="488" xr:uid="{00000000-0005-0000-0000-0000E7010000}"/>
    <cellStyle name="Comma 8 3 2 2" xfId="489" xr:uid="{00000000-0005-0000-0000-0000E8010000}"/>
    <cellStyle name="Comma 8 3 2 2 2" xfId="490" xr:uid="{00000000-0005-0000-0000-0000E9010000}"/>
    <cellStyle name="Comma 8 3 2 2 2 2" xfId="491" xr:uid="{00000000-0005-0000-0000-0000EA010000}"/>
    <cellStyle name="Comma 8 3 2 2 3" xfId="492" xr:uid="{00000000-0005-0000-0000-0000EB010000}"/>
    <cellStyle name="Comma 8 3 2 3" xfId="493" xr:uid="{00000000-0005-0000-0000-0000EC010000}"/>
    <cellStyle name="Comma 8 3 2 3 2" xfId="494" xr:uid="{00000000-0005-0000-0000-0000ED010000}"/>
    <cellStyle name="Comma 8 3 2 4" xfId="495" xr:uid="{00000000-0005-0000-0000-0000EE010000}"/>
    <cellStyle name="Comma 8 3 2 4 2" xfId="496" xr:uid="{00000000-0005-0000-0000-0000EF010000}"/>
    <cellStyle name="Comma 8 3 2 5" xfId="497" xr:uid="{00000000-0005-0000-0000-0000F0010000}"/>
    <cellStyle name="Comma 8 3 3" xfId="498" xr:uid="{00000000-0005-0000-0000-0000F1010000}"/>
    <cellStyle name="Comma 8 3 3 2" xfId="499" xr:uid="{00000000-0005-0000-0000-0000F2010000}"/>
    <cellStyle name="Comma 8 3 3 2 2" xfId="500" xr:uid="{00000000-0005-0000-0000-0000F3010000}"/>
    <cellStyle name="Comma 8 3 3 3" xfId="501" xr:uid="{00000000-0005-0000-0000-0000F4010000}"/>
    <cellStyle name="Comma 8 3 3 3 2" xfId="502" xr:uid="{00000000-0005-0000-0000-0000F5010000}"/>
    <cellStyle name="Comma 8 3 3 4" xfId="503" xr:uid="{00000000-0005-0000-0000-0000F6010000}"/>
    <cellStyle name="Comma 8 3 4" xfId="504" xr:uid="{00000000-0005-0000-0000-0000F7010000}"/>
    <cellStyle name="Comma 8 3 4 2" xfId="505" xr:uid="{00000000-0005-0000-0000-0000F8010000}"/>
    <cellStyle name="Comma 8 3 4 2 2" xfId="506" xr:uid="{00000000-0005-0000-0000-0000F9010000}"/>
    <cellStyle name="Comma 8 3 4 3" xfId="507" xr:uid="{00000000-0005-0000-0000-0000FA010000}"/>
    <cellStyle name="Comma 8 3 5" xfId="508" xr:uid="{00000000-0005-0000-0000-0000FB010000}"/>
    <cellStyle name="Comma 8 3 5 2" xfId="509" xr:uid="{00000000-0005-0000-0000-0000FC010000}"/>
    <cellStyle name="Comma 8 3 6" xfId="510" xr:uid="{00000000-0005-0000-0000-0000FD010000}"/>
    <cellStyle name="Comma 8 3 6 2" xfId="511" xr:uid="{00000000-0005-0000-0000-0000FE010000}"/>
    <cellStyle name="Comma 8 3 7" xfId="512" xr:uid="{00000000-0005-0000-0000-0000FF010000}"/>
    <cellStyle name="Comma 8 4" xfId="513" xr:uid="{00000000-0005-0000-0000-000000020000}"/>
    <cellStyle name="Comma 8 4 2" xfId="514" xr:uid="{00000000-0005-0000-0000-000001020000}"/>
    <cellStyle name="Comma 8 4 2 2" xfId="515" xr:uid="{00000000-0005-0000-0000-000002020000}"/>
    <cellStyle name="Comma 8 4 2 2 2" xfId="516" xr:uid="{00000000-0005-0000-0000-000003020000}"/>
    <cellStyle name="Comma 8 4 2 3" xfId="517" xr:uid="{00000000-0005-0000-0000-000004020000}"/>
    <cellStyle name="Comma 8 4 3" xfId="518" xr:uid="{00000000-0005-0000-0000-000005020000}"/>
    <cellStyle name="Comma 8 4 3 2" xfId="519" xr:uid="{00000000-0005-0000-0000-000006020000}"/>
    <cellStyle name="Comma 8 4 4" xfId="520" xr:uid="{00000000-0005-0000-0000-000007020000}"/>
    <cellStyle name="Comma 8 4 4 2" xfId="521" xr:uid="{00000000-0005-0000-0000-000008020000}"/>
    <cellStyle name="Comma 8 4 5" xfId="522" xr:uid="{00000000-0005-0000-0000-000009020000}"/>
    <cellStyle name="Comma 8 5" xfId="523" xr:uid="{00000000-0005-0000-0000-00000A020000}"/>
    <cellStyle name="Comma 8 5 2" xfId="524" xr:uid="{00000000-0005-0000-0000-00000B020000}"/>
    <cellStyle name="Comma 8 5 2 2" xfId="525" xr:uid="{00000000-0005-0000-0000-00000C020000}"/>
    <cellStyle name="Comma 8 5 3" xfId="526" xr:uid="{00000000-0005-0000-0000-00000D020000}"/>
    <cellStyle name="Comma 8 5 3 2" xfId="527" xr:uid="{00000000-0005-0000-0000-00000E020000}"/>
    <cellStyle name="Comma 8 5 4" xfId="528" xr:uid="{00000000-0005-0000-0000-00000F020000}"/>
    <cellStyle name="Comma 8 6" xfId="529" xr:uid="{00000000-0005-0000-0000-000010020000}"/>
    <cellStyle name="Comma 9" xfId="530" xr:uid="{00000000-0005-0000-0000-000011020000}"/>
    <cellStyle name="Comma 9 2" xfId="531" xr:uid="{00000000-0005-0000-0000-000012020000}"/>
    <cellStyle name="Comma 9 2 2" xfId="532" xr:uid="{00000000-0005-0000-0000-000013020000}"/>
    <cellStyle name="Comma 9 3" xfId="533" xr:uid="{00000000-0005-0000-0000-000014020000}"/>
    <cellStyle name="Comma 9 3 2" xfId="534" xr:uid="{00000000-0005-0000-0000-000015020000}"/>
    <cellStyle name="Comma 9 3 2 2" xfId="535" xr:uid="{00000000-0005-0000-0000-000016020000}"/>
    <cellStyle name="Comma 9 3 3" xfId="536" xr:uid="{00000000-0005-0000-0000-000017020000}"/>
    <cellStyle name="Comma 9 4" xfId="537" xr:uid="{00000000-0005-0000-0000-000018020000}"/>
    <cellStyle name="Comma 9 4 2" xfId="538" xr:uid="{00000000-0005-0000-0000-000019020000}"/>
    <cellStyle name="Comma 9 4 2 2" xfId="539" xr:uid="{00000000-0005-0000-0000-00001A020000}"/>
    <cellStyle name="Comma 9 4 3" xfId="540" xr:uid="{00000000-0005-0000-0000-00001B020000}"/>
    <cellStyle name="Comma 9 5" xfId="541" xr:uid="{00000000-0005-0000-0000-00001C020000}"/>
    <cellStyle name="Comma 9 5 2" xfId="542" xr:uid="{00000000-0005-0000-0000-00001D020000}"/>
    <cellStyle name="Comma 9 6" xfId="543" xr:uid="{00000000-0005-0000-0000-00001E020000}"/>
    <cellStyle name="Comma 9 6 2" xfId="544" xr:uid="{00000000-0005-0000-0000-00001F020000}"/>
    <cellStyle name="Comma 9 7" xfId="545" xr:uid="{00000000-0005-0000-0000-000020020000}"/>
    <cellStyle name="Comma0" xfId="546" xr:uid="{00000000-0005-0000-0000-000021020000}"/>
    <cellStyle name="Comma0 2" xfId="547" xr:uid="{00000000-0005-0000-0000-000022020000}"/>
    <cellStyle name="Comma0 2 2" xfId="548" xr:uid="{00000000-0005-0000-0000-000023020000}"/>
    <cellStyle name="Comma0 2 3" xfId="549" xr:uid="{00000000-0005-0000-0000-000024020000}"/>
    <cellStyle name="Comma0 2 4" xfId="550" xr:uid="{00000000-0005-0000-0000-000025020000}"/>
    <cellStyle name="Comma0 3" xfId="551" xr:uid="{00000000-0005-0000-0000-000026020000}"/>
    <cellStyle name="Company Name" xfId="552" xr:uid="{00000000-0005-0000-0000-000027020000}"/>
    <cellStyle name="Currency" xfId="553" builtinId="4"/>
    <cellStyle name="Currency 0.00" xfId="554" xr:uid="{00000000-0005-0000-0000-000029020000}"/>
    <cellStyle name="Currency 10" xfId="555" xr:uid="{00000000-0005-0000-0000-00002A020000}"/>
    <cellStyle name="Currency 10 2" xfId="556" xr:uid="{00000000-0005-0000-0000-00002B020000}"/>
    <cellStyle name="Currency 11" xfId="557" xr:uid="{00000000-0005-0000-0000-00002C020000}"/>
    <cellStyle name="Currency 11 2" xfId="558" xr:uid="{00000000-0005-0000-0000-00002D020000}"/>
    <cellStyle name="Currency 12" xfId="559" xr:uid="{00000000-0005-0000-0000-00002E020000}"/>
    <cellStyle name="Currency 13" xfId="560" xr:uid="{00000000-0005-0000-0000-00002F020000}"/>
    <cellStyle name="Currency 13 2" xfId="561" xr:uid="{00000000-0005-0000-0000-000030020000}"/>
    <cellStyle name="Currency 14" xfId="562" xr:uid="{00000000-0005-0000-0000-000031020000}"/>
    <cellStyle name="Currency 15" xfId="563" xr:uid="{00000000-0005-0000-0000-000032020000}"/>
    <cellStyle name="Currency 16" xfId="564" xr:uid="{00000000-0005-0000-0000-000033020000}"/>
    <cellStyle name="Currency 17" xfId="565" xr:uid="{00000000-0005-0000-0000-000034020000}"/>
    <cellStyle name="Currency 18" xfId="566" xr:uid="{00000000-0005-0000-0000-000035020000}"/>
    <cellStyle name="Currency 2" xfId="567" xr:uid="{00000000-0005-0000-0000-000036020000}"/>
    <cellStyle name="Currency 2 10" xfId="568" xr:uid="{00000000-0005-0000-0000-000037020000}"/>
    <cellStyle name="Currency 2 10 2" xfId="569" xr:uid="{00000000-0005-0000-0000-000038020000}"/>
    <cellStyle name="Currency 2 11" xfId="570" xr:uid="{00000000-0005-0000-0000-000039020000}"/>
    <cellStyle name="Currency 2 12" xfId="571" xr:uid="{00000000-0005-0000-0000-00003A020000}"/>
    <cellStyle name="Currency 2 12 2" xfId="572" xr:uid="{00000000-0005-0000-0000-00003B020000}"/>
    <cellStyle name="Currency 2 2" xfId="573" xr:uid="{00000000-0005-0000-0000-00003C020000}"/>
    <cellStyle name="Currency 2 2 2" xfId="574" xr:uid="{00000000-0005-0000-0000-00003D020000}"/>
    <cellStyle name="Currency 2 2 3" xfId="575" xr:uid="{00000000-0005-0000-0000-00003E020000}"/>
    <cellStyle name="Currency 2 2 3 2" xfId="576" xr:uid="{00000000-0005-0000-0000-00003F020000}"/>
    <cellStyle name="Currency 2 3" xfId="577" xr:uid="{00000000-0005-0000-0000-000040020000}"/>
    <cellStyle name="Currency 2 3 2" xfId="578" xr:uid="{00000000-0005-0000-0000-000041020000}"/>
    <cellStyle name="Currency 2 3 3" xfId="579" xr:uid="{00000000-0005-0000-0000-000042020000}"/>
    <cellStyle name="Currency 2 3 3 2" xfId="580" xr:uid="{00000000-0005-0000-0000-000043020000}"/>
    <cellStyle name="Currency 2 4" xfId="581" xr:uid="{00000000-0005-0000-0000-000044020000}"/>
    <cellStyle name="Currency 2 4 2" xfId="582" xr:uid="{00000000-0005-0000-0000-000045020000}"/>
    <cellStyle name="Currency 2 5" xfId="583" xr:uid="{00000000-0005-0000-0000-000046020000}"/>
    <cellStyle name="Currency 2 5 2" xfId="584" xr:uid="{00000000-0005-0000-0000-000047020000}"/>
    <cellStyle name="Currency 2 6" xfId="585" xr:uid="{00000000-0005-0000-0000-000048020000}"/>
    <cellStyle name="Currency 2 7" xfId="586" xr:uid="{00000000-0005-0000-0000-000049020000}"/>
    <cellStyle name="Currency 2 8" xfId="587" xr:uid="{00000000-0005-0000-0000-00004A020000}"/>
    <cellStyle name="Currency 2 8 2" xfId="588" xr:uid="{00000000-0005-0000-0000-00004B020000}"/>
    <cellStyle name="Currency 2 9" xfId="589" xr:uid="{00000000-0005-0000-0000-00004C020000}"/>
    <cellStyle name="Currency 2 9 2" xfId="590" xr:uid="{00000000-0005-0000-0000-00004D020000}"/>
    <cellStyle name="Currency 3" xfId="591" xr:uid="{00000000-0005-0000-0000-00004E020000}"/>
    <cellStyle name="Currency 3 2" xfId="592" xr:uid="{00000000-0005-0000-0000-00004F020000}"/>
    <cellStyle name="Currency 3 2 2" xfId="593" xr:uid="{00000000-0005-0000-0000-000050020000}"/>
    <cellStyle name="Currency 3 2 2 2" xfId="594" xr:uid="{00000000-0005-0000-0000-000051020000}"/>
    <cellStyle name="Currency 3 2 3" xfId="595" xr:uid="{00000000-0005-0000-0000-000052020000}"/>
    <cellStyle name="Currency 3 2 3 2" xfId="596" xr:uid="{00000000-0005-0000-0000-000053020000}"/>
    <cellStyle name="Currency 3 2 4" xfId="597" xr:uid="{00000000-0005-0000-0000-000054020000}"/>
    <cellStyle name="Currency 3 2 5" xfId="598" xr:uid="{00000000-0005-0000-0000-000055020000}"/>
    <cellStyle name="Currency 3 2 5 2" xfId="599" xr:uid="{00000000-0005-0000-0000-000056020000}"/>
    <cellStyle name="Currency 3 2 6" xfId="1923" xr:uid="{4FA9A47E-07B0-4D86-A66E-6B14AB9F9AB5}"/>
    <cellStyle name="Currency 3 3" xfId="600" xr:uid="{00000000-0005-0000-0000-000057020000}"/>
    <cellStyle name="Currency 3 3 2" xfId="601" xr:uid="{00000000-0005-0000-0000-000058020000}"/>
    <cellStyle name="Currency 3 3 3" xfId="602" xr:uid="{00000000-0005-0000-0000-000059020000}"/>
    <cellStyle name="Currency 3 3 3 2" xfId="603" xr:uid="{00000000-0005-0000-0000-00005A020000}"/>
    <cellStyle name="Currency 3 3 4" xfId="1924" xr:uid="{59CAB0A0-343E-4471-9EFB-0E92C959EEE3}"/>
    <cellStyle name="Currency 3 4" xfId="604" xr:uid="{00000000-0005-0000-0000-00005B020000}"/>
    <cellStyle name="Currency 3 5" xfId="605" xr:uid="{00000000-0005-0000-0000-00005C020000}"/>
    <cellStyle name="Currency 3 5 2" xfId="606" xr:uid="{00000000-0005-0000-0000-00005D020000}"/>
    <cellStyle name="Currency 3 6" xfId="1922" xr:uid="{F2E94328-E056-4E64-900D-56231FD29569}"/>
    <cellStyle name="Currency 4" xfId="607" xr:uid="{00000000-0005-0000-0000-00005E020000}"/>
    <cellStyle name="Currency 4 2" xfId="608" xr:uid="{00000000-0005-0000-0000-00005F020000}"/>
    <cellStyle name="Currency 4 2 2" xfId="609" xr:uid="{00000000-0005-0000-0000-000060020000}"/>
    <cellStyle name="Currency 4 3" xfId="610" xr:uid="{00000000-0005-0000-0000-000061020000}"/>
    <cellStyle name="Currency 4 3 2" xfId="611" xr:uid="{00000000-0005-0000-0000-000062020000}"/>
    <cellStyle name="Currency 4 4" xfId="612" xr:uid="{00000000-0005-0000-0000-000063020000}"/>
    <cellStyle name="Currency 5" xfId="613" xr:uid="{00000000-0005-0000-0000-000064020000}"/>
    <cellStyle name="Currency 5 2" xfId="614" xr:uid="{00000000-0005-0000-0000-000065020000}"/>
    <cellStyle name="Currency 5 2 2" xfId="615" xr:uid="{00000000-0005-0000-0000-000066020000}"/>
    <cellStyle name="Currency 5 2 3" xfId="616" xr:uid="{00000000-0005-0000-0000-000067020000}"/>
    <cellStyle name="Currency 5 3" xfId="617" xr:uid="{00000000-0005-0000-0000-000068020000}"/>
    <cellStyle name="Currency 5 3 2" xfId="618" xr:uid="{00000000-0005-0000-0000-000069020000}"/>
    <cellStyle name="Currency 5 3 3" xfId="619" xr:uid="{00000000-0005-0000-0000-00006A020000}"/>
    <cellStyle name="Currency 5 4" xfId="620" xr:uid="{00000000-0005-0000-0000-00006B020000}"/>
    <cellStyle name="Currency 5 5" xfId="621" xr:uid="{00000000-0005-0000-0000-00006C020000}"/>
    <cellStyle name="Currency 5 5 2" xfId="622" xr:uid="{00000000-0005-0000-0000-00006D020000}"/>
    <cellStyle name="Currency 6" xfId="623" xr:uid="{00000000-0005-0000-0000-00006E020000}"/>
    <cellStyle name="Currency 6 2" xfId="624" xr:uid="{00000000-0005-0000-0000-00006F020000}"/>
    <cellStyle name="Currency 6 2 2" xfId="625" xr:uid="{00000000-0005-0000-0000-000070020000}"/>
    <cellStyle name="Currency 6 2 2 2" xfId="626" xr:uid="{00000000-0005-0000-0000-000071020000}"/>
    <cellStyle name="Currency 6 3" xfId="627" xr:uid="{00000000-0005-0000-0000-000072020000}"/>
    <cellStyle name="Currency 6 3 2" xfId="628" xr:uid="{00000000-0005-0000-0000-000073020000}"/>
    <cellStyle name="Currency 6 3 2 2" xfId="629" xr:uid="{00000000-0005-0000-0000-000074020000}"/>
    <cellStyle name="Currency 6 4" xfId="630" xr:uid="{00000000-0005-0000-0000-000075020000}"/>
    <cellStyle name="Currency 6 4 2" xfId="631" xr:uid="{00000000-0005-0000-0000-000076020000}"/>
    <cellStyle name="Currency 6 4 2 2" xfId="632" xr:uid="{00000000-0005-0000-0000-000077020000}"/>
    <cellStyle name="Currency 6 5" xfId="633" xr:uid="{00000000-0005-0000-0000-000078020000}"/>
    <cellStyle name="Currency 6 5 2" xfId="634" xr:uid="{00000000-0005-0000-0000-000079020000}"/>
    <cellStyle name="Currency 7" xfId="635" xr:uid="{00000000-0005-0000-0000-00007A020000}"/>
    <cellStyle name="Currency 7 2" xfId="636" xr:uid="{00000000-0005-0000-0000-00007B020000}"/>
    <cellStyle name="Currency 7 2 2" xfId="637" xr:uid="{00000000-0005-0000-0000-00007C020000}"/>
    <cellStyle name="Currency 7 2 3" xfId="638" xr:uid="{00000000-0005-0000-0000-00007D020000}"/>
    <cellStyle name="Currency 7 2 4" xfId="639" xr:uid="{00000000-0005-0000-0000-00007E020000}"/>
    <cellStyle name="Currency 7 3" xfId="640" xr:uid="{00000000-0005-0000-0000-00007F020000}"/>
    <cellStyle name="Currency 7 4" xfId="641" xr:uid="{00000000-0005-0000-0000-000080020000}"/>
    <cellStyle name="Currency 7 5" xfId="642" xr:uid="{00000000-0005-0000-0000-000081020000}"/>
    <cellStyle name="Currency 7 6" xfId="643" xr:uid="{00000000-0005-0000-0000-000082020000}"/>
    <cellStyle name="Currency 8" xfId="644" xr:uid="{00000000-0005-0000-0000-000083020000}"/>
    <cellStyle name="Currency 8 2" xfId="645" xr:uid="{00000000-0005-0000-0000-000084020000}"/>
    <cellStyle name="Currency 9" xfId="646" xr:uid="{00000000-0005-0000-0000-000085020000}"/>
    <cellStyle name="Currency 9 2" xfId="647" xr:uid="{00000000-0005-0000-0000-000086020000}"/>
    <cellStyle name="Currency 9 2 2" xfId="648" xr:uid="{00000000-0005-0000-0000-000087020000}"/>
    <cellStyle name="Currency0" xfId="649" xr:uid="{00000000-0005-0000-0000-000088020000}"/>
    <cellStyle name="Currency0 2" xfId="650" xr:uid="{00000000-0005-0000-0000-000089020000}"/>
    <cellStyle name="Currency0 2 2" xfId="651" xr:uid="{00000000-0005-0000-0000-00008A020000}"/>
    <cellStyle name="Currency0 2 3" xfId="652" xr:uid="{00000000-0005-0000-0000-00008B020000}"/>
    <cellStyle name="Currency0 2 4" xfId="653" xr:uid="{00000000-0005-0000-0000-00008C020000}"/>
    <cellStyle name="Currency0 3" xfId="654" xr:uid="{00000000-0005-0000-0000-00008D020000}"/>
    <cellStyle name="Date" xfId="655" xr:uid="{00000000-0005-0000-0000-00008E020000}"/>
    <cellStyle name="Date 2" xfId="656" xr:uid="{00000000-0005-0000-0000-00008F020000}"/>
    <cellStyle name="Date 2 2" xfId="657" xr:uid="{00000000-0005-0000-0000-000090020000}"/>
    <cellStyle name="Date 2 3" xfId="658" xr:uid="{00000000-0005-0000-0000-000091020000}"/>
    <cellStyle name="Date 2 4" xfId="659" xr:uid="{00000000-0005-0000-0000-000092020000}"/>
    <cellStyle name="Date 3" xfId="660" xr:uid="{00000000-0005-0000-0000-000093020000}"/>
    <cellStyle name="Explanatory Text" xfId="661" builtinId="53" customBuiltin="1"/>
    <cellStyle name="Explanatory Text 2" xfId="662" xr:uid="{00000000-0005-0000-0000-000095020000}"/>
    <cellStyle name="Fixed" xfId="663" xr:uid="{00000000-0005-0000-0000-000096020000}"/>
    <cellStyle name="Fixed 2" xfId="664" xr:uid="{00000000-0005-0000-0000-000097020000}"/>
    <cellStyle name="Fixed 2 2" xfId="665" xr:uid="{00000000-0005-0000-0000-000098020000}"/>
    <cellStyle name="Fixed 2 3" xfId="666" xr:uid="{00000000-0005-0000-0000-000099020000}"/>
    <cellStyle name="Fixed 2 4" xfId="667" xr:uid="{00000000-0005-0000-0000-00009A020000}"/>
    <cellStyle name="Fixed 3" xfId="668" xr:uid="{00000000-0005-0000-0000-00009B020000}"/>
    <cellStyle name="Followed Hyperlink 2" xfId="669" xr:uid="{00000000-0005-0000-0000-00009C020000}"/>
    <cellStyle name="FONT" xfId="670" xr:uid="{00000000-0005-0000-0000-00009D020000}"/>
    <cellStyle name="FundHeaderRowCol.*" xfId="671" xr:uid="{00000000-0005-0000-0000-00009E020000}"/>
    <cellStyle name="FundHeaderRowCol.1" xfId="672" xr:uid="{00000000-0005-0000-0000-00009F020000}"/>
    <cellStyle name="FundHeaderRowCol.2" xfId="673" xr:uid="{00000000-0005-0000-0000-0000A0020000}"/>
    <cellStyle name="FundHeaderRowCol.Desc" xfId="674" xr:uid="{00000000-0005-0000-0000-0000A1020000}"/>
    <cellStyle name="FundSectionHeaderRowDescCol" xfId="675" xr:uid="{00000000-0005-0000-0000-0000A2020000}"/>
    <cellStyle name="FundSectionHeaderRowJERefCol" xfId="676" xr:uid="{00000000-0005-0000-0000-0000A3020000}"/>
    <cellStyle name="FundSectionHeaderRowNameCol" xfId="677" xr:uid="{00000000-0005-0000-0000-0000A4020000}"/>
    <cellStyle name="Good" xfId="678" builtinId="26" customBuiltin="1"/>
    <cellStyle name="Good 2" xfId="679" xr:uid="{00000000-0005-0000-0000-0000A6020000}"/>
    <cellStyle name="Good 2 2" xfId="680" xr:uid="{00000000-0005-0000-0000-0000A7020000}"/>
    <cellStyle name="Good 2 3" xfId="681" xr:uid="{00000000-0005-0000-0000-0000A8020000}"/>
    <cellStyle name="Good 2 4" xfId="682" xr:uid="{00000000-0005-0000-0000-0000A9020000}"/>
    <cellStyle name="Good 2 5" xfId="683" xr:uid="{00000000-0005-0000-0000-0000AA020000}"/>
    <cellStyle name="GroupSectionHeaderRowBalance" xfId="684" xr:uid="{00000000-0005-0000-0000-0000AB020000}"/>
    <cellStyle name="GroupSectionHeaderRowDescCol" xfId="685" xr:uid="{00000000-0005-0000-0000-0000AC020000}"/>
    <cellStyle name="GroupSectionHeaderRowNameCol" xfId="686" xr:uid="{00000000-0005-0000-0000-0000AD020000}"/>
    <cellStyle name="GroupSelectionHeaderRowJERefCol" xfId="687" xr:uid="{00000000-0005-0000-0000-0000AE020000}"/>
    <cellStyle name="heading" xfId="688" xr:uid="{00000000-0005-0000-0000-0000AF020000}"/>
    <cellStyle name="Heading 1" xfId="689" builtinId="16" customBuiltin="1"/>
    <cellStyle name="Heading 1 2" xfId="690" xr:uid="{00000000-0005-0000-0000-0000B1020000}"/>
    <cellStyle name="Heading 1 2 2" xfId="691" xr:uid="{00000000-0005-0000-0000-0000B2020000}"/>
    <cellStyle name="Heading 1 2 3" xfId="692" xr:uid="{00000000-0005-0000-0000-0000B3020000}"/>
    <cellStyle name="Heading 1 2 4" xfId="693" xr:uid="{00000000-0005-0000-0000-0000B4020000}"/>
    <cellStyle name="Heading 1 2 5" xfId="694" xr:uid="{00000000-0005-0000-0000-0000B5020000}"/>
    <cellStyle name="Heading 1 2 6" xfId="695" xr:uid="{00000000-0005-0000-0000-0000B6020000}"/>
    <cellStyle name="Heading 1 3" xfId="696" xr:uid="{00000000-0005-0000-0000-0000B7020000}"/>
    <cellStyle name="Heading 1 3 2" xfId="697" xr:uid="{00000000-0005-0000-0000-0000B8020000}"/>
    <cellStyle name="Heading 1 3 3" xfId="698" xr:uid="{00000000-0005-0000-0000-0000B9020000}"/>
    <cellStyle name="Heading 2" xfId="699" builtinId="17" customBuiltin="1"/>
    <cellStyle name="Heading 2 2" xfId="700" xr:uid="{00000000-0005-0000-0000-0000BB020000}"/>
    <cellStyle name="Heading 2 2 2" xfId="701" xr:uid="{00000000-0005-0000-0000-0000BC020000}"/>
    <cellStyle name="Heading 2 2 3" xfId="702" xr:uid="{00000000-0005-0000-0000-0000BD020000}"/>
    <cellStyle name="Heading 2 2 4" xfId="703" xr:uid="{00000000-0005-0000-0000-0000BE020000}"/>
    <cellStyle name="Heading 2 2 5" xfId="704" xr:uid="{00000000-0005-0000-0000-0000BF020000}"/>
    <cellStyle name="Heading 2 2 6" xfId="705" xr:uid="{00000000-0005-0000-0000-0000C0020000}"/>
    <cellStyle name="Heading 2 3" xfId="706" xr:uid="{00000000-0005-0000-0000-0000C1020000}"/>
    <cellStyle name="Heading 2 3 2" xfId="707" xr:uid="{00000000-0005-0000-0000-0000C2020000}"/>
    <cellStyle name="Heading 2 3 3" xfId="708" xr:uid="{00000000-0005-0000-0000-0000C3020000}"/>
    <cellStyle name="Heading 3" xfId="709" builtinId="18" customBuiltin="1"/>
    <cellStyle name="Heading 3 2" xfId="710" xr:uid="{00000000-0005-0000-0000-0000C5020000}"/>
    <cellStyle name="Heading 3 2 2" xfId="711" xr:uid="{00000000-0005-0000-0000-0000C6020000}"/>
    <cellStyle name="Heading 3 2 3" xfId="712" xr:uid="{00000000-0005-0000-0000-0000C7020000}"/>
    <cellStyle name="Heading 3 2 4" xfId="713" xr:uid="{00000000-0005-0000-0000-0000C8020000}"/>
    <cellStyle name="Heading 4" xfId="714" builtinId="19" customBuiltin="1"/>
    <cellStyle name="Heading 4 2" xfId="715" xr:uid="{00000000-0005-0000-0000-0000CA020000}"/>
    <cellStyle name="Heading 4 2 2" xfId="716" xr:uid="{00000000-0005-0000-0000-0000CB020000}"/>
    <cellStyle name="Heading 4 2 3" xfId="717" xr:uid="{00000000-0005-0000-0000-0000CC020000}"/>
    <cellStyle name="Heading 4 2 4" xfId="718" xr:uid="{00000000-0005-0000-0000-0000CD020000}"/>
    <cellStyle name="Hyperlink 2" xfId="719" xr:uid="{00000000-0005-0000-0000-0000CE020000}"/>
    <cellStyle name="Hyperlink 2 2" xfId="720" xr:uid="{00000000-0005-0000-0000-0000CF020000}"/>
    <cellStyle name="Input" xfId="721" builtinId="20" customBuiltin="1"/>
    <cellStyle name="Input 2" xfId="722" xr:uid="{00000000-0005-0000-0000-0000D1020000}"/>
    <cellStyle name="Input 2 2" xfId="723" xr:uid="{00000000-0005-0000-0000-0000D2020000}"/>
    <cellStyle name="Input 2 3" xfId="724" xr:uid="{00000000-0005-0000-0000-0000D3020000}"/>
    <cellStyle name="Input 2 4" xfId="725" xr:uid="{00000000-0005-0000-0000-0000D4020000}"/>
    <cellStyle name="JEDescriptionRowNameCol" xfId="726" xr:uid="{00000000-0005-0000-0000-0000D5020000}"/>
    <cellStyle name="JEDetailRowCreditCol" xfId="727" xr:uid="{00000000-0005-0000-0000-0000D6020000}"/>
    <cellStyle name="JEDetailRowDebitCol" xfId="728" xr:uid="{00000000-0005-0000-0000-0000D7020000}"/>
    <cellStyle name="JEDetailRowDescCol" xfId="729" xr:uid="{00000000-0005-0000-0000-0000D8020000}"/>
    <cellStyle name="JEDetailRowNameCol" xfId="730" xr:uid="{00000000-0005-0000-0000-0000D9020000}"/>
    <cellStyle name="JEDetailRowSpacerCol" xfId="731" xr:uid="{00000000-0005-0000-0000-0000DA020000}"/>
    <cellStyle name="JEDetailRowWPRefCol" xfId="732" xr:uid="{00000000-0005-0000-0000-0000DB020000}"/>
    <cellStyle name="JEFundSectionHeaderRowDescCol" xfId="733" xr:uid="{00000000-0005-0000-0000-0000DC020000}"/>
    <cellStyle name="JEFundSectionHeaderRowNameCol" xfId="734" xr:uid="{00000000-0005-0000-0000-0000DD020000}"/>
    <cellStyle name="JEIdentityRowDescCol" xfId="735" xr:uid="{00000000-0005-0000-0000-0000DE020000}"/>
    <cellStyle name="JEIdentityRowNameCol" xfId="736" xr:uid="{00000000-0005-0000-0000-0000DF020000}"/>
    <cellStyle name="JEIdentityRowSpacerCol" xfId="737" xr:uid="{00000000-0005-0000-0000-0000E0020000}"/>
    <cellStyle name="JEIdentityRowWPRefCol" xfId="738" xr:uid="{00000000-0005-0000-0000-0000E1020000}"/>
    <cellStyle name="JETotalRowCreditCol" xfId="739" xr:uid="{00000000-0005-0000-0000-0000E2020000}"/>
    <cellStyle name="JETotalRowDebitCol" xfId="740" xr:uid="{00000000-0005-0000-0000-0000E3020000}"/>
    <cellStyle name="JETotalRowDescCol" xfId="741" xr:uid="{00000000-0005-0000-0000-0000E4020000}"/>
    <cellStyle name="JETotalRowNameCol" xfId="742" xr:uid="{00000000-0005-0000-0000-0000E5020000}"/>
    <cellStyle name="JETotalRowSpacerCol" xfId="743" xr:uid="{00000000-0005-0000-0000-0000E6020000}"/>
    <cellStyle name="JETotalRowWPRefCol" xfId="744" xr:uid="{00000000-0005-0000-0000-0000E7020000}"/>
    <cellStyle name="JETypeDescriptionRowDescCol" xfId="745" xr:uid="{00000000-0005-0000-0000-0000E8020000}"/>
    <cellStyle name="JETypeDescriptionRowNameCol" xfId="746" xr:uid="{00000000-0005-0000-0000-0000E9020000}"/>
    <cellStyle name="Linked Cell" xfId="747" builtinId="24" customBuiltin="1"/>
    <cellStyle name="Linked Cell 2" xfId="748" xr:uid="{00000000-0005-0000-0000-0000EB020000}"/>
    <cellStyle name="Linked Cell 2 2" xfId="749" xr:uid="{00000000-0005-0000-0000-0000EC020000}"/>
    <cellStyle name="Linked Cell 2 3" xfId="750" xr:uid="{00000000-0005-0000-0000-0000ED020000}"/>
    <cellStyle name="Linked Cell 2 4" xfId="751" xr:uid="{00000000-0005-0000-0000-0000EE020000}"/>
    <cellStyle name="M" xfId="752" xr:uid="{00000000-0005-0000-0000-0000EF020000}"/>
    <cellStyle name="M 2" xfId="753" xr:uid="{00000000-0005-0000-0000-0000F0020000}"/>
    <cellStyle name="NetAssetsCategoryTitle" xfId="754" xr:uid="{00000000-0005-0000-0000-0000F1020000}"/>
    <cellStyle name="NetIncomeLossRowBalanceCol" xfId="755" xr:uid="{00000000-0005-0000-0000-0000F2020000}"/>
    <cellStyle name="NetIncomeLossRowDescCol" xfId="756" xr:uid="{00000000-0005-0000-0000-0000F3020000}"/>
    <cellStyle name="NetIncomeLossRowJERefCol" xfId="757" xr:uid="{00000000-0005-0000-0000-0000F4020000}"/>
    <cellStyle name="NetIncomeLossRowNameCol" xfId="758" xr:uid="{00000000-0005-0000-0000-0000F5020000}"/>
    <cellStyle name="NetIncomeLossRowSpacerCol" xfId="759" xr:uid="{00000000-0005-0000-0000-0000F6020000}"/>
    <cellStyle name="NetIncomeLossRowVarPectCol" xfId="760" xr:uid="{00000000-0005-0000-0000-0000F7020000}"/>
    <cellStyle name="NetIncomeLossRowWPRefCol" xfId="761" xr:uid="{00000000-0005-0000-0000-0000F8020000}"/>
    <cellStyle name="Neutral" xfId="762" builtinId="28" customBuiltin="1"/>
    <cellStyle name="Neutral 2" xfId="763" xr:uid="{00000000-0005-0000-0000-0000FA020000}"/>
    <cellStyle name="Neutral 2 2" xfId="764" xr:uid="{00000000-0005-0000-0000-0000FB020000}"/>
    <cellStyle name="Neutral 2 3" xfId="765" xr:uid="{00000000-0005-0000-0000-0000FC020000}"/>
    <cellStyle name="Neutral 2 4" xfId="766" xr:uid="{00000000-0005-0000-0000-0000FD020000}"/>
    <cellStyle name="NoData" xfId="767" xr:uid="{00000000-0005-0000-0000-0000FE020000}"/>
    <cellStyle name="Normal" xfId="0" builtinId="0"/>
    <cellStyle name="Normal 10" xfId="768" xr:uid="{00000000-0005-0000-0000-000000030000}"/>
    <cellStyle name="Normal 10 2" xfId="769" xr:uid="{00000000-0005-0000-0000-000001030000}"/>
    <cellStyle name="Normal 10 2 2" xfId="770" xr:uid="{00000000-0005-0000-0000-000002030000}"/>
    <cellStyle name="Normal 10 2 3" xfId="771" xr:uid="{00000000-0005-0000-0000-000003030000}"/>
    <cellStyle name="Normal 10 3" xfId="772" xr:uid="{00000000-0005-0000-0000-000004030000}"/>
    <cellStyle name="Normal 10 3 2" xfId="773" xr:uid="{00000000-0005-0000-0000-000005030000}"/>
    <cellStyle name="Normal 10 3 3" xfId="774" xr:uid="{00000000-0005-0000-0000-000006030000}"/>
    <cellStyle name="Normal 10 4" xfId="775" xr:uid="{00000000-0005-0000-0000-000007030000}"/>
    <cellStyle name="Normal 10 5" xfId="776" xr:uid="{00000000-0005-0000-0000-000008030000}"/>
    <cellStyle name="Normal 11" xfId="777" xr:uid="{00000000-0005-0000-0000-000009030000}"/>
    <cellStyle name="Normal 11 2" xfId="778" xr:uid="{00000000-0005-0000-0000-00000A030000}"/>
    <cellStyle name="Normal 11 3" xfId="779" xr:uid="{00000000-0005-0000-0000-00000B030000}"/>
    <cellStyle name="Normal 11 4" xfId="780" xr:uid="{00000000-0005-0000-0000-00000C030000}"/>
    <cellStyle name="Normal 11 5" xfId="781" xr:uid="{00000000-0005-0000-0000-00000D030000}"/>
    <cellStyle name="Normal 12" xfId="782" xr:uid="{00000000-0005-0000-0000-00000E030000}"/>
    <cellStyle name="Normal 12 2" xfId="783" xr:uid="{00000000-0005-0000-0000-00000F030000}"/>
    <cellStyle name="Normal 12 2 2" xfId="784" xr:uid="{00000000-0005-0000-0000-000010030000}"/>
    <cellStyle name="Normal 12 3" xfId="785" xr:uid="{00000000-0005-0000-0000-000011030000}"/>
    <cellStyle name="Normal 12 4" xfId="786" xr:uid="{00000000-0005-0000-0000-000012030000}"/>
    <cellStyle name="Normal 12 5" xfId="787" xr:uid="{00000000-0005-0000-0000-000013030000}"/>
    <cellStyle name="Normal 13" xfId="788" xr:uid="{00000000-0005-0000-0000-000014030000}"/>
    <cellStyle name="Normal 13 2" xfId="789" xr:uid="{00000000-0005-0000-0000-000015030000}"/>
    <cellStyle name="Normal 13 2 2" xfId="790" xr:uid="{00000000-0005-0000-0000-000016030000}"/>
    <cellStyle name="Normal 13 3" xfId="791" xr:uid="{00000000-0005-0000-0000-000017030000}"/>
    <cellStyle name="Normal 13 4" xfId="792" xr:uid="{00000000-0005-0000-0000-000018030000}"/>
    <cellStyle name="Normal 13 5" xfId="793" xr:uid="{00000000-0005-0000-0000-000019030000}"/>
    <cellStyle name="Normal 14" xfId="794" xr:uid="{00000000-0005-0000-0000-00001A030000}"/>
    <cellStyle name="Normal 14 2" xfId="795" xr:uid="{00000000-0005-0000-0000-00001B030000}"/>
    <cellStyle name="Normal 14 2 2" xfId="796" xr:uid="{00000000-0005-0000-0000-00001C030000}"/>
    <cellStyle name="Normal 14 3" xfId="797" xr:uid="{00000000-0005-0000-0000-00001D030000}"/>
    <cellStyle name="Normal 14 4" xfId="798" xr:uid="{00000000-0005-0000-0000-00001E030000}"/>
    <cellStyle name="Normal 15" xfId="799" xr:uid="{00000000-0005-0000-0000-00001F030000}"/>
    <cellStyle name="Normal 15 2" xfId="800" xr:uid="{00000000-0005-0000-0000-000020030000}"/>
    <cellStyle name="Normal 15 2 2" xfId="801" xr:uid="{00000000-0005-0000-0000-000021030000}"/>
    <cellStyle name="Normal 15 3" xfId="802" xr:uid="{00000000-0005-0000-0000-000022030000}"/>
    <cellStyle name="Normal 15 3 2" xfId="803" xr:uid="{00000000-0005-0000-0000-000023030000}"/>
    <cellStyle name="Normal 15 3 3" xfId="804" xr:uid="{00000000-0005-0000-0000-000024030000}"/>
    <cellStyle name="Normal 15 4" xfId="805" xr:uid="{00000000-0005-0000-0000-000025030000}"/>
    <cellStyle name="Normal 15 4 2" xfId="806" xr:uid="{00000000-0005-0000-0000-000026030000}"/>
    <cellStyle name="Normal 15 5" xfId="807" xr:uid="{00000000-0005-0000-0000-000027030000}"/>
    <cellStyle name="Normal 15 6" xfId="808" xr:uid="{00000000-0005-0000-0000-000028030000}"/>
    <cellStyle name="Normal 16" xfId="809" xr:uid="{00000000-0005-0000-0000-000029030000}"/>
    <cellStyle name="Normal 16 2" xfId="810" xr:uid="{00000000-0005-0000-0000-00002A030000}"/>
    <cellStyle name="Normal 16 2 2" xfId="811" xr:uid="{00000000-0005-0000-0000-00002B030000}"/>
    <cellStyle name="Normal 16 3" xfId="812" xr:uid="{00000000-0005-0000-0000-00002C030000}"/>
    <cellStyle name="Normal 16 3 2" xfId="813" xr:uid="{00000000-0005-0000-0000-00002D030000}"/>
    <cellStyle name="Normal 16 3 3" xfId="814" xr:uid="{00000000-0005-0000-0000-00002E030000}"/>
    <cellStyle name="Normal 16 4" xfId="815" xr:uid="{00000000-0005-0000-0000-00002F030000}"/>
    <cellStyle name="Normal 16 5" xfId="816" xr:uid="{00000000-0005-0000-0000-000030030000}"/>
    <cellStyle name="Normal 17" xfId="817" xr:uid="{00000000-0005-0000-0000-000031030000}"/>
    <cellStyle name="Normal 17 2" xfId="818" xr:uid="{00000000-0005-0000-0000-000032030000}"/>
    <cellStyle name="Normal 17 2 2" xfId="819" xr:uid="{00000000-0005-0000-0000-000033030000}"/>
    <cellStyle name="Normal 17 3" xfId="820" xr:uid="{00000000-0005-0000-0000-000034030000}"/>
    <cellStyle name="Normal 17 4" xfId="821" xr:uid="{00000000-0005-0000-0000-000035030000}"/>
    <cellStyle name="Normal 18" xfId="822" xr:uid="{00000000-0005-0000-0000-000036030000}"/>
    <cellStyle name="Normal 18 10" xfId="823" xr:uid="{00000000-0005-0000-0000-000037030000}"/>
    <cellStyle name="Normal 18 10 2" xfId="824" xr:uid="{00000000-0005-0000-0000-000038030000}"/>
    <cellStyle name="Normal 18 10 2 2" xfId="825" xr:uid="{00000000-0005-0000-0000-000039030000}"/>
    <cellStyle name="Normal 18 10 2 2 2" xfId="826" xr:uid="{00000000-0005-0000-0000-00003A030000}"/>
    <cellStyle name="Normal 18 10 2 3" xfId="827" xr:uid="{00000000-0005-0000-0000-00003B030000}"/>
    <cellStyle name="Normal 18 10 3" xfId="828" xr:uid="{00000000-0005-0000-0000-00003C030000}"/>
    <cellStyle name="Normal 18 10 3 2" xfId="829" xr:uid="{00000000-0005-0000-0000-00003D030000}"/>
    <cellStyle name="Normal 18 10 4" xfId="830" xr:uid="{00000000-0005-0000-0000-00003E030000}"/>
    <cellStyle name="Normal 18 10 4 2" xfId="831" xr:uid="{00000000-0005-0000-0000-00003F030000}"/>
    <cellStyle name="Normal 18 10 5" xfId="832" xr:uid="{00000000-0005-0000-0000-000040030000}"/>
    <cellStyle name="Normal 18 11" xfId="833" xr:uid="{00000000-0005-0000-0000-000041030000}"/>
    <cellStyle name="Normal 18 11 2" xfId="834" xr:uid="{00000000-0005-0000-0000-000042030000}"/>
    <cellStyle name="Normal 18 11 2 2" xfId="835" xr:uid="{00000000-0005-0000-0000-000043030000}"/>
    <cellStyle name="Normal 18 11 2 2 2" xfId="836" xr:uid="{00000000-0005-0000-0000-000044030000}"/>
    <cellStyle name="Normal 18 11 2 3" xfId="837" xr:uid="{00000000-0005-0000-0000-000045030000}"/>
    <cellStyle name="Normal 18 11 3" xfId="838" xr:uid="{00000000-0005-0000-0000-000046030000}"/>
    <cellStyle name="Normal 18 11 3 2" xfId="839" xr:uid="{00000000-0005-0000-0000-000047030000}"/>
    <cellStyle name="Normal 18 11 4" xfId="840" xr:uid="{00000000-0005-0000-0000-000048030000}"/>
    <cellStyle name="Normal 18 11 4 2" xfId="841" xr:uid="{00000000-0005-0000-0000-000049030000}"/>
    <cellStyle name="Normal 18 11 5" xfId="842" xr:uid="{00000000-0005-0000-0000-00004A030000}"/>
    <cellStyle name="Normal 18 12" xfId="843" xr:uid="{00000000-0005-0000-0000-00004B030000}"/>
    <cellStyle name="Normal 18 12 2" xfId="844" xr:uid="{00000000-0005-0000-0000-00004C030000}"/>
    <cellStyle name="Normal 18 12 2 2" xfId="845" xr:uid="{00000000-0005-0000-0000-00004D030000}"/>
    <cellStyle name="Normal 18 12 3" xfId="846" xr:uid="{00000000-0005-0000-0000-00004E030000}"/>
    <cellStyle name="Normal 18 12 3 2" xfId="847" xr:uid="{00000000-0005-0000-0000-00004F030000}"/>
    <cellStyle name="Normal 18 12 4" xfId="848" xr:uid="{00000000-0005-0000-0000-000050030000}"/>
    <cellStyle name="Normal 18 13" xfId="849" xr:uid="{00000000-0005-0000-0000-000051030000}"/>
    <cellStyle name="Normal 18 13 2" xfId="850" xr:uid="{00000000-0005-0000-0000-000052030000}"/>
    <cellStyle name="Normal 18 13 2 2" xfId="851" xr:uid="{00000000-0005-0000-0000-000053030000}"/>
    <cellStyle name="Normal 18 13 3" xfId="852" xr:uid="{00000000-0005-0000-0000-000054030000}"/>
    <cellStyle name="Normal 18 14" xfId="853" xr:uid="{00000000-0005-0000-0000-000055030000}"/>
    <cellStyle name="Normal 18 14 2" xfId="854" xr:uid="{00000000-0005-0000-0000-000056030000}"/>
    <cellStyle name="Normal 18 14 2 2" xfId="855" xr:uid="{00000000-0005-0000-0000-000057030000}"/>
    <cellStyle name="Normal 18 14 3" xfId="856" xr:uid="{00000000-0005-0000-0000-000058030000}"/>
    <cellStyle name="Normal 18 15" xfId="857" xr:uid="{00000000-0005-0000-0000-000059030000}"/>
    <cellStyle name="Normal 18 15 2" xfId="858" xr:uid="{00000000-0005-0000-0000-00005A030000}"/>
    <cellStyle name="Normal 18 16" xfId="859" xr:uid="{00000000-0005-0000-0000-00005B030000}"/>
    <cellStyle name="Normal 18 16 2" xfId="860" xr:uid="{00000000-0005-0000-0000-00005C030000}"/>
    <cellStyle name="Normal 18 17" xfId="861" xr:uid="{00000000-0005-0000-0000-00005D030000}"/>
    <cellStyle name="Normal 18 17 2" xfId="862" xr:uid="{00000000-0005-0000-0000-00005E030000}"/>
    <cellStyle name="Normal 18 18" xfId="863" xr:uid="{00000000-0005-0000-0000-00005F030000}"/>
    <cellStyle name="Normal 18 19" xfId="864" xr:uid="{00000000-0005-0000-0000-000060030000}"/>
    <cellStyle name="Normal 18 2" xfId="865" xr:uid="{00000000-0005-0000-0000-000061030000}"/>
    <cellStyle name="Normal 18 2 2" xfId="866" xr:uid="{00000000-0005-0000-0000-000062030000}"/>
    <cellStyle name="Normal 18 3" xfId="867" xr:uid="{00000000-0005-0000-0000-000063030000}"/>
    <cellStyle name="Normal 18 3 10" xfId="868" xr:uid="{00000000-0005-0000-0000-000064030000}"/>
    <cellStyle name="Normal 18 3 10 2" xfId="869" xr:uid="{00000000-0005-0000-0000-000065030000}"/>
    <cellStyle name="Normal 18 3 11" xfId="870" xr:uid="{00000000-0005-0000-0000-000066030000}"/>
    <cellStyle name="Normal 18 3 12" xfId="871" xr:uid="{00000000-0005-0000-0000-000067030000}"/>
    <cellStyle name="Normal 18 3 2" xfId="872" xr:uid="{00000000-0005-0000-0000-000068030000}"/>
    <cellStyle name="Normal 18 3 2 10" xfId="873" xr:uid="{00000000-0005-0000-0000-000069030000}"/>
    <cellStyle name="Normal 18 3 2 2" xfId="874" xr:uid="{00000000-0005-0000-0000-00006A030000}"/>
    <cellStyle name="Normal 18 3 2 2 2" xfId="875" xr:uid="{00000000-0005-0000-0000-00006B030000}"/>
    <cellStyle name="Normal 18 3 2 2 2 2" xfId="876" xr:uid="{00000000-0005-0000-0000-00006C030000}"/>
    <cellStyle name="Normal 18 3 2 2 2 2 2" xfId="877" xr:uid="{00000000-0005-0000-0000-00006D030000}"/>
    <cellStyle name="Normal 18 3 2 2 2 2 2 2" xfId="878" xr:uid="{00000000-0005-0000-0000-00006E030000}"/>
    <cellStyle name="Normal 18 3 2 2 2 2 3" xfId="879" xr:uid="{00000000-0005-0000-0000-00006F030000}"/>
    <cellStyle name="Normal 18 3 2 2 2 3" xfId="880" xr:uid="{00000000-0005-0000-0000-000070030000}"/>
    <cellStyle name="Normal 18 3 2 2 2 3 2" xfId="881" xr:uid="{00000000-0005-0000-0000-000071030000}"/>
    <cellStyle name="Normal 18 3 2 2 2 3 2 2" xfId="882" xr:uid="{00000000-0005-0000-0000-000072030000}"/>
    <cellStyle name="Normal 18 3 2 2 2 3 3" xfId="883" xr:uid="{00000000-0005-0000-0000-000073030000}"/>
    <cellStyle name="Normal 18 3 2 2 2 4" xfId="884" xr:uid="{00000000-0005-0000-0000-000074030000}"/>
    <cellStyle name="Normal 18 3 2 2 2 4 2" xfId="885" xr:uid="{00000000-0005-0000-0000-000075030000}"/>
    <cellStyle name="Normal 18 3 2 2 2 5" xfId="886" xr:uid="{00000000-0005-0000-0000-000076030000}"/>
    <cellStyle name="Normal 18 3 2 2 2 5 2" xfId="887" xr:uid="{00000000-0005-0000-0000-000077030000}"/>
    <cellStyle name="Normal 18 3 2 2 2 6" xfId="888" xr:uid="{00000000-0005-0000-0000-000078030000}"/>
    <cellStyle name="Normal 18 3 2 2 3" xfId="889" xr:uid="{00000000-0005-0000-0000-000079030000}"/>
    <cellStyle name="Normal 18 3 2 2 3 2" xfId="890" xr:uid="{00000000-0005-0000-0000-00007A030000}"/>
    <cellStyle name="Normal 18 3 2 2 3 2 2" xfId="891" xr:uid="{00000000-0005-0000-0000-00007B030000}"/>
    <cellStyle name="Normal 18 3 2 2 3 3" xfId="892" xr:uid="{00000000-0005-0000-0000-00007C030000}"/>
    <cellStyle name="Normal 18 3 2 2 4" xfId="893" xr:uid="{00000000-0005-0000-0000-00007D030000}"/>
    <cellStyle name="Normal 18 3 2 2 4 2" xfId="894" xr:uid="{00000000-0005-0000-0000-00007E030000}"/>
    <cellStyle name="Normal 18 3 2 2 4 2 2" xfId="895" xr:uid="{00000000-0005-0000-0000-00007F030000}"/>
    <cellStyle name="Normal 18 3 2 2 4 3" xfId="896" xr:uid="{00000000-0005-0000-0000-000080030000}"/>
    <cellStyle name="Normal 18 3 2 2 5" xfId="897" xr:uid="{00000000-0005-0000-0000-000081030000}"/>
    <cellStyle name="Normal 18 3 2 2 5 2" xfId="898" xr:uid="{00000000-0005-0000-0000-000082030000}"/>
    <cellStyle name="Normal 18 3 2 2 6" xfId="899" xr:uid="{00000000-0005-0000-0000-000083030000}"/>
    <cellStyle name="Normal 18 3 2 2 6 2" xfId="900" xr:uid="{00000000-0005-0000-0000-000084030000}"/>
    <cellStyle name="Normal 18 3 2 2 7" xfId="901" xr:uid="{00000000-0005-0000-0000-000085030000}"/>
    <cellStyle name="Normal 18 3 2 3" xfId="902" xr:uid="{00000000-0005-0000-0000-000086030000}"/>
    <cellStyle name="Normal 18 3 2 3 2" xfId="903" xr:uid="{00000000-0005-0000-0000-000087030000}"/>
    <cellStyle name="Normal 18 3 2 3 2 2" xfId="904" xr:uid="{00000000-0005-0000-0000-000088030000}"/>
    <cellStyle name="Normal 18 3 2 3 2 2 2" xfId="905" xr:uid="{00000000-0005-0000-0000-000089030000}"/>
    <cellStyle name="Normal 18 3 2 3 2 3" xfId="906" xr:uid="{00000000-0005-0000-0000-00008A030000}"/>
    <cellStyle name="Normal 18 3 2 3 3" xfId="907" xr:uid="{00000000-0005-0000-0000-00008B030000}"/>
    <cellStyle name="Normal 18 3 2 3 3 2" xfId="908" xr:uid="{00000000-0005-0000-0000-00008C030000}"/>
    <cellStyle name="Normal 18 3 2 3 3 2 2" xfId="909" xr:uid="{00000000-0005-0000-0000-00008D030000}"/>
    <cellStyle name="Normal 18 3 2 3 3 3" xfId="910" xr:uid="{00000000-0005-0000-0000-00008E030000}"/>
    <cellStyle name="Normal 18 3 2 3 4" xfId="911" xr:uid="{00000000-0005-0000-0000-00008F030000}"/>
    <cellStyle name="Normal 18 3 2 3 4 2" xfId="912" xr:uid="{00000000-0005-0000-0000-000090030000}"/>
    <cellStyle name="Normal 18 3 2 3 5" xfId="913" xr:uid="{00000000-0005-0000-0000-000091030000}"/>
    <cellStyle name="Normal 18 3 2 3 5 2" xfId="914" xr:uid="{00000000-0005-0000-0000-000092030000}"/>
    <cellStyle name="Normal 18 3 2 3 6" xfId="915" xr:uid="{00000000-0005-0000-0000-000093030000}"/>
    <cellStyle name="Normal 18 3 2 4" xfId="916" xr:uid="{00000000-0005-0000-0000-000094030000}"/>
    <cellStyle name="Normal 18 3 2 4 2" xfId="917" xr:uid="{00000000-0005-0000-0000-000095030000}"/>
    <cellStyle name="Normal 18 3 2 4 2 2" xfId="918" xr:uid="{00000000-0005-0000-0000-000096030000}"/>
    <cellStyle name="Normal 18 3 2 4 2 2 2" xfId="919" xr:uid="{00000000-0005-0000-0000-000097030000}"/>
    <cellStyle name="Normal 18 3 2 4 2 3" xfId="920" xr:uid="{00000000-0005-0000-0000-000098030000}"/>
    <cellStyle name="Normal 18 3 2 4 3" xfId="921" xr:uid="{00000000-0005-0000-0000-000099030000}"/>
    <cellStyle name="Normal 18 3 2 4 3 2" xfId="922" xr:uid="{00000000-0005-0000-0000-00009A030000}"/>
    <cellStyle name="Normal 18 3 2 4 4" xfId="923" xr:uid="{00000000-0005-0000-0000-00009B030000}"/>
    <cellStyle name="Normal 18 3 2 4 4 2" xfId="924" xr:uid="{00000000-0005-0000-0000-00009C030000}"/>
    <cellStyle name="Normal 18 3 2 4 5" xfId="925" xr:uid="{00000000-0005-0000-0000-00009D030000}"/>
    <cellStyle name="Normal 18 3 2 5" xfId="926" xr:uid="{00000000-0005-0000-0000-00009E030000}"/>
    <cellStyle name="Normal 18 3 2 5 2" xfId="927" xr:uid="{00000000-0005-0000-0000-00009F030000}"/>
    <cellStyle name="Normal 18 3 2 5 2 2" xfId="928" xr:uid="{00000000-0005-0000-0000-0000A0030000}"/>
    <cellStyle name="Normal 18 3 2 5 2 2 2" xfId="929" xr:uid="{00000000-0005-0000-0000-0000A1030000}"/>
    <cellStyle name="Normal 18 3 2 5 2 3" xfId="930" xr:uid="{00000000-0005-0000-0000-0000A2030000}"/>
    <cellStyle name="Normal 18 3 2 5 3" xfId="931" xr:uid="{00000000-0005-0000-0000-0000A3030000}"/>
    <cellStyle name="Normal 18 3 2 5 3 2" xfId="932" xr:uid="{00000000-0005-0000-0000-0000A4030000}"/>
    <cellStyle name="Normal 18 3 2 5 4" xfId="933" xr:uid="{00000000-0005-0000-0000-0000A5030000}"/>
    <cellStyle name="Normal 18 3 2 5 4 2" xfId="934" xr:uid="{00000000-0005-0000-0000-0000A6030000}"/>
    <cellStyle name="Normal 18 3 2 5 5" xfId="935" xr:uid="{00000000-0005-0000-0000-0000A7030000}"/>
    <cellStyle name="Normal 18 3 2 6" xfId="936" xr:uid="{00000000-0005-0000-0000-0000A8030000}"/>
    <cellStyle name="Normal 18 3 2 6 2" xfId="937" xr:uid="{00000000-0005-0000-0000-0000A9030000}"/>
    <cellStyle name="Normal 18 3 2 6 2 2" xfId="938" xr:uid="{00000000-0005-0000-0000-0000AA030000}"/>
    <cellStyle name="Normal 18 3 2 6 3" xfId="939" xr:uid="{00000000-0005-0000-0000-0000AB030000}"/>
    <cellStyle name="Normal 18 3 2 7" xfId="940" xr:uid="{00000000-0005-0000-0000-0000AC030000}"/>
    <cellStyle name="Normal 18 3 2 7 2" xfId="941" xr:uid="{00000000-0005-0000-0000-0000AD030000}"/>
    <cellStyle name="Normal 18 3 2 7 2 2" xfId="942" xr:uid="{00000000-0005-0000-0000-0000AE030000}"/>
    <cellStyle name="Normal 18 3 2 7 3" xfId="943" xr:uid="{00000000-0005-0000-0000-0000AF030000}"/>
    <cellStyle name="Normal 18 3 2 8" xfId="944" xr:uid="{00000000-0005-0000-0000-0000B0030000}"/>
    <cellStyle name="Normal 18 3 2 8 2" xfId="945" xr:uid="{00000000-0005-0000-0000-0000B1030000}"/>
    <cellStyle name="Normal 18 3 2 9" xfId="946" xr:uid="{00000000-0005-0000-0000-0000B2030000}"/>
    <cellStyle name="Normal 18 3 2 9 2" xfId="947" xr:uid="{00000000-0005-0000-0000-0000B3030000}"/>
    <cellStyle name="Normal 18 3 3" xfId="948" xr:uid="{00000000-0005-0000-0000-0000B4030000}"/>
    <cellStyle name="Normal 18 3 3 2" xfId="949" xr:uid="{00000000-0005-0000-0000-0000B5030000}"/>
    <cellStyle name="Normal 18 3 3 2 2" xfId="950" xr:uid="{00000000-0005-0000-0000-0000B6030000}"/>
    <cellStyle name="Normal 18 3 3 2 2 2" xfId="951" xr:uid="{00000000-0005-0000-0000-0000B7030000}"/>
    <cellStyle name="Normal 18 3 3 2 2 2 2" xfId="952" xr:uid="{00000000-0005-0000-0000-0000B8030000}"/>
    <cellStyle name="Normal 18 3 3 2 2 3" xfId="953" xr:uid="{00000000-0005-0000-0000-0000B9030000}"/>
    <cellStyle name="Normal 18 3 3 2 3" xfId="954" xr:uid="{00000000-0005-0000-0000-0000BA030000}"/>
    <cellStyle name="Normal 18 3 3 2 3 2" xfId="955" xr:uid="{00000000-0005-0000-0000-0000BB030000}"/>
    <cellStyle name="Normal 18 3 3 2 3 2 2" xfId="956" xr:uid="{00000000-0005-0000-0000-0000BC030000}"/>
    <cellStyle name="Normal 18 3 3 2 3 3" xfId="957" xr:uid="{00000000-0005-0000-0000-0000BD030000}"/>
    <cellStyle name="Normal 18 3 3 2 4" xfId="958" xr:uid="{00000000-0005-0000-0000-0000BE030000}"/>
    <cellStyle name="Normal 18 3 3 2 4 2" xfId="959" xr:uid="{00000000-0005-0000-0000-0000BF030000}"/>
    <cellStyle name="Normal 18 3 3 2 5" xfId="960" xr:uid="{00000000-0005-0000-0000-0000C0030000}"/>
    <cellStyle name="Normal 18 3 3 2 5 2" xfId="961" xr:uid="{00000000-0005-0000-0000-0000C1030000}"/>
    <cellStyle name="Normal 18 3 3 2 6" xfId="962" xr:uid="{00000000-0005-0000-0000-0000C2030000}"/>
    <cellStyle name="Normal 18 3 3 3" xfId="963" xr:uid="{00000000-0005-0000-0000-0000C3030000}"/>
    <cellStyle name="Normal 18 3 3 3 2" xfId="964" xr:uid="{00000000-0005-0000-0000-0000C4030000}"/>
    <cellStyle name="Normal 18 3 3 3 2 2" xfId="965" xr:uid="{00000000-0005-0000-0000-0000C5030000}"/>
    <cellStyle name="Normal 18 3 3 3 3" xfId="966" xr:uid="{00000000-0005-0000-0000-0000C6030000}"/>
    <cellStyle name="Normal 18 3 3 4" xfId="967" xr:uid="{00000000-0005-0000-0000-0000C7030000}"/>
    <cellStyle name="Normal 18 3 3 4 2" xfId="968" xr:uid="{00000000-0005-0000-0000-0000C8030000}"/>
    <cellStyle name="Normal 18 3 3 4 2 2" xfId="969" xr:uid="{00000000-0005-0000-0000-0000C9030000}"/>
    <cellStyle name="Normal 18 3 3 4 3" xfId="970" xr:uid="{00000000-0005-0000-0000-0000CA030000}"/>
    <cellStyle name="Normal 18 3 3 5" xfId="971" xr:uid="{00000000-0005-0000-0000-0000CB030000}"/>
    <cellStyle name="Normal 18 3 3 5 2" xfId="972" xr:uid="{00000000-0005-0000-0000-0000CC030000}"/>
    <cellStyle name="Normal 18 3 3 6" xfId="973" xr:uid="{00000000-0005-0000-0000-0000CD030000}"/>
    <cellStyle name="Normal 18 3 3 6 2" xfId="974" xr:uid="{00000000-0005-0000-0000-0000CE030000}"/>
    <cellStyle name="Normal 18 3 3 7" xfId="975" xr:uid="{00000000-0005-0000-0000-0000CF030000}"/>
    <cellStyle name="Normal 18 3 4" xfId="976" xr:uid="{00000000-0005-0000-0000-0000D0030000}"/>
    <cellStyle name="Normal 18 3 4 2" xfId="977" xr:uid="{00000000-0005-0000-0000-0000D1030000}"/>
    <cellStyle name="Normal 18 3 4 2 2" xfId="978" xr:uid="{00000000-0005-0000-0000-0000D2030000}"/>
    <cellStyle name="Normal 18 3 4 2 2 2" xfId="979" xr:uid="{00000000-0005-0000-0000-0000D3030000}"/>
    <cellStyle name="Normal 18 3 4 2 3" xfId="980" xr:uid="{00000000-0005-0000-0000-0000D4030000}"/>
    <cellStyle name="Normal 18 3 4 3" xfId="981" xr:uid="{00000000-0005-0000-0000-0000D5030000}"/>
    <cellStyle name="Normal 18 3 4 3 2" xfId="982" xr:uid="{00000000-0005-0000-0000-0000D6030000}"/>
    <cellStyle name="Normal 18 3 4 3 2 2" xfId="983" xr:uid="{00000000-0005-0000-0000-0000D7030000}"/>
    <cellStyle name="Normal 18 3 4 3 3" xfId="984" xr:uid="{00000000-0005-0000-0000-0000D8030000}"/>
    <cellStyle name="Normal 18 3 4 4" xfId="985" xr:uid="{00000000-0005-0000-0000-0000D9030000}"/>
    <cellStyle name="Normal 18 3 4 4 2" xfId="986" xr:uid="{00000000-0005-0000-0000-0000DA030000}"/>
    <cellStyle name="Normal 18 3 4 5" xfId="987" xr:uid="{00000000-0005-0000-0000-0000DB030000}"/>
    <cellStyle name="Normal 18 3 4 5 2" xfId="988" xr:uid="{00000000-0005-0000-0000-0000DC030000}"/>
    <cellStyle name="Normal 18 3 4 6" xfId="989" xr:uid="{00000000-0005-0000-0000-0000DD030000}"/>
    <cellStyle name="Normal 18 3 5" xfId="990" xr:uid="{00000000-0005-0000-0000-0000DE030000}"/>
    <cellStyle name="Normal 18 3 5 2" xfId="991" xr:uid="{00000000-0005-0000-0000-0000DF030000}"/>
    <cellStyle name="Normal 18 3 5 2 2" xfId="992" xr:uid="{00000000-0005-0000-0000-0000E0030000}"/>
    <cellStyle name="Normal 18 3 5 2 2 2" xfId="993" xr:uid="{00000000-0005-0000-0000-0000E1030000}"/>
    <cellStyle name="Normal 18 3 5 2 3" xfId="994" xr:uid="{00000000-0005-0000-0000-0000E2030000}"/>
    <cellStyle name="Normal 18 3 5 3" xfId="995" xr:uid="{00000000-0005-0000-0000-0000E3030000}"/>
    <cellStyle name="Normal 18 3 5 3 2" xfId="996" xr:uid="{00000000-0005-0000-0000-0000E4030000}"/>
    <cellStyle name="Normal 18 3 5 4" xfId="997" xr:uid="{00000000-0005-0000-0000-0000E5030000}"/>
    <cellStyle name="Normal 18 3 5 4 2" xfId="998" xr:uid="{00000000-0005-0000-0000-0000E6030000}"/>
    <cellStyle name="Normal 18 3 5 5" xfId="999" xr:uid="{00000000-0005-0000-0000-0000E7030000}"/>
    <cellStyle name="Normal 18 3 6" xfId="1000" xr:uid="{00000000-0005-0000-0000-0000E8030000}"/>
    <cellStyle name="Normal 18 3 6 2" xfId="1001" xr:uid="{00000000-0005-0000-0000-0000E9030000}"/>
    <cellStyle name="Normal 18 3 6 2 2" xfId="1002" xr:uid="{00000000-0005-0000-0000-0000EA030000}"/>
    <cellStyle name="Normal 18 3 6 2 2 2" xfId="1003" xr:uid="{00000000-0005-0000-0000-0000EB030000}"/>
    <cellStyle name="Normal 18 3 6 2 3" xfId="1004" xr:uid="{00000000-0005-0000-0000-0000EC030000}"/>
    <cellStyle name="Normal 18 3 6 3" xfId="1005" xr:uid="{00000000-0005-0000-0000-0000ED030000}"/>
    <cellStyle name="Normal 18 3 6 3 2" xfId="1006" xr:uid="{00000000-0005-0000-0000-0000EE030000}"/>
    <cellStyle name="Normal 18 3 6 4" xfId="1007" xr:uid="{00000000-0005-0000-0000-0000EF030000}"/>
    <cellStyle name="Normal 18 3 6 4 2" xfId="1008" xr:uid="{00000000-0005-0000-0000-0000F0030000}"/>
    <cellStyle name="Normal 18 3 6 5" xfId="1009" xr:uid="{00000000-0005-0000-0000-0000F1030000}"/>
    <cellStyle name="Normal 18 3 7" xfId="1010" xr:uid="{00000000-0005-0000-0000-0000F2030000}"/>
    <cellStyle name="Normal 18 3 7 2" xfId="1011" xr:uid="{00000000-0005-0000-0000-0000F3030000}"/>
    <cellStyle name="Normal 18 3 7 2 2" xfId="1012" xr:uid="{00000000-0005-0000-0000-0000F4030000}"/>
    <cellStyle name="Normal 18 3 7 3" xfId="1013" xr:uid="{00000000-0005-0000-0000-0000F5030000}"/>
    <cellStyle name="Normal 18 3 8" xfId="1014" xr:uid="{00000000-0005-0000-0000-0000F6030000}"/>
    <cellStyle name="Normal 18 3 8 2" xfId="1015" xr:uid="{00000000-0005-0000-0000-0000F7030000}"/>
    <cellStyle name="Normal 18 3 8 2 2" xfId="1016" xr:uid="{00000000-0005-0000-0000-0000F8030000}"/>
    <cellStyle name="Normal 18 3 8 3" xfId="1017" xr:uid="{00000000-0005-0000-0000-0000F9030000}"/>
    <cellStyle name="Normal 18 3 9" xfId="1018" xr:uid="{00000000-0005-0000-0000-0000FA030000}"/>
    <cellStyle name="Normal 18 3 9 2" xfId="1019" xr:uid="{00000000-0005-0000-0000-0000FB030000}"/>
    <cellStyle name="Normal 18 4" xfId="1020" xr:uid="{00000000-0005-0000-0000-0000FC030000}"/>
    <cellStyle name="Normal 18 4 10" xfId="1021" xr:uid="{00000000-0005-0000-0000-0000FD030000}"/>
    <cellStyle name="Normal 18 4 10 2" xfId="1022" xr:uid="{00000000-0005-0000-0000-0000FE030000}"/>
    <cellStyle name="Normal 18 4 11" xfId="1023" xr:uid="{00000000-0005-0000-0000-0000FF030000}"/>
    <cellStyle name="Normal 18 4 2" xfId="1024" xr:uid="{00000000-0005-0000-0000-000000040000}"/>
    <cellStyle name="Normal 18 4 2 10" xfId="1025" xr:uid="{00000000-0005-0000-0000-000001040000}"/>
    <cellStyle name="Normal 18 4 2 2" xfId="1026" xr:uid="{00000000-0005-0000-0000-000002040000}"/>
    <cellStyle name="Normal 18 4 2 2 2" xfId="1027" xr:uid="{00000000-0005-0000-0000-000003040000}"/>
    <cellStyle name="Normal 18 4 2 2 2 2" xfId="1028" xr:uid="{00000000-0005-0000-0000-000004040000}"/>
    <cellStyle name="Normal 18 4 2 2 2 2 2" xfId="1029" xr:uid="{00000000-0005-0000-0000-000005040000}"/>
    <cellStyle name="Normal 18 4 2 2 2 2 2 2" xfId="1030" xr:uid="{00000000-0005-0000-0000-000006040000}"/>
    <cellStyle name="Normal 18 4 2 2 2 2 3" xfId="1031" xr:uid="{00000000-0005-0000-0000-000007040000}"/>
    <cellStyle name="Normal 18 4 2 2 2 3" xfId="1032" xr:uid="{00000000-0005-0000-0000-000008040000}"/>
    <cellStyle name="Normal 18 4 2 2 2 3 2" xfId="1033" xr:uid="{00000000-0005-0000-0000-000009040000}"/>
    <cellStyle name="Normal 18 4 2 2 2 3 2 2" xfId="1034" xr:uid="{00000000-0005-0000-0000-00000A040000}"/>
    <cellStyle name="Normal 18 4 2 2 2 3 3" xfId="1035" xr:uid="{00000000-0005-0000-0000-00000B040000}"/>
    <cellStyle name="Normal 18 4 2 2 2 4" xfId="1036" xr:uid="{00000000-0005-0000-0000-00000C040000}"/>
    <cellStyle name="Normal 18 4 2 2 2 4 2" xfId="1037" xr:uid="{00000000-0005-0000-0000-00000D040000}"/>
    <cellStyle name="Normal 18 4 2 2 2 5" xfId="1038" xr:uid="{00000000-0005-0000-0000-00000E040000}"/>
    <cellStyle name="Normal 18 4 2 2 2 5 2" xfId="1039" xr:uid="{00000000-0005-0000-0000-00000F040000}"/>
    <cellStyle name="Normal 18 4 2 2 2 6" xfId="1040" xr:uid="{00000000-0005-0000-0000-000010040000}"/>
    <cellStyle name="Normal 18 4 2 2 3" xfId="1041" xr:uid="{00000000-0005-0000-0000-000011040000}"/>
    <cellStyle name="Normal 18 4 2 2 3 2" xfId="1042" xr:uid="{00000000-0005-0000-0000-000012040000}"/>
    <cellStyle name="Normal 18 4 2 2 3 2 2" xfId="1043" xr:uid="{00000000-0005-0000-0000-000013040000}"/>
    <cellStyle name="Normal 18 4 2 2 3 3" xfId="1044" xr:uid="{00000000-0005-0000-0000-000014040000}"/>
    <cellStyle name="Normal 18 4 2 2 4" xfId="1045" xr:uid="{00000000-0005-0000-0000-000015040000}"/>
    <cellStyle name="Normal 18 4 2 2 4 2" xfId="1046" xr:uid="{00000000-0005-0000-0000-000016040000}"/>
    <cellStyle name="Normal 18 4 2 2 4 2 2" xfId="1047" xr:uid="{00000000-0005-0000-0000-000017040000}"/>
    <cellStyle name="Normal 18 4 2 2 4 3" xfId="1048" xr:uid="{00000000-0005-0000-0000-000018040000}"/>
    <cellStyle name="Normal 18 4 2 2 5" xfId="1049" xr:uid="{00000000-0005-0000-0000-000019040000}"/>
    <cellStyle name="Normal 18 4 2 2 5 2" xfId="1050" xr:uid="{00000000-0005-0000-0000-00001A040000}"/>
    <cellStyle name="Normal 18 4 2 2 6" xfId="1051" xr:uid="{00000000-0005-0000-0000-00001B040000}"/>
    <cellStyle name="Normal 18 4 2 2 6 2" xfId="1052" xr:uid="{00000000-0005-0000-0000-00001C040000}"/>
    <cellStyle name="Normal 18 4 2 2 7" xfId="1053" xr:uid="{00000000-0005-0000-0000-00001D040000}"/>
    <cellStyle name="Normal 18 4 2 3" xfId="1054" xr:uid="{00000000-0005-0000-0000-00001E040000}"/>
    <cellStyle name="Normal 18 4 2 3 2" xfId="1055" xr:uid="{00000000-0005-0000-0000-00001F040000}"/>
    <cellStyle name="Normal 18 4 2 3 2 2" xfId="1056" xr:uid="{00000000-0005-0000-0000-000020040000}"/>
    <cellStyle name="Normal 18 4 2 3 2 2 2" xfId="1057" xr:uid="{00000000-0005-0000-0000-000021040000}"/>
    <cellStyle name="Normal 18 4 2 3 2 3" xfId="1058" xr:uid="{00000000-0005-0000-0000-000022040000}"/>
    <cellStyle name="Normal 18 4 2 3 3" xfId="1059" xr:uid="{00000000-0005-0000-0000-000023040000}"/>
    <cellStyle name="Normal 18 4 2 3 3 2" xfId="1060" xr:uid="{00000000-0005-0000-0000-000024040000}"/>
    <cellStyle name="Normal 18 4 2 3 3 2 2" xfId="1061" xr:uid="{00000000-0005-0000-0000-000025040000}"/>
    <cellStyle name="Normal 18 4 2 3 3 3" xfId="1062" xr:uid="{00000000-0005-0000-0000-000026040000}"/>
    <cellStyle name="Normal 18 4 2 3 4" xfId="1063" xr:uid="{00000000-0005-0000-0000-000027040000}"/>
    <cellStyle name="Normal 18 4 2 3 4 2" xfId="1064" xr:uid="{00000000-0005-0000-0000-000028040000}"/>
    <cellStyle name="Normal 18 4 2 3 5" xfId="1065" xr:uid="{00000000-0005-0000-0000-000029040000}"/>
    <cellStyle name="Normal 18 4 2 3 5 2" xfId="1066" xr:uid="{00000000-0005-0000-0000-00002A040000}"/>
    <cellStyle name="Normal 18 4 2 3 6" xfId="1067" xr:uid="{00000000-0005-0000-0000-00002B040000}"/>
    <cellStyle name="Normal 18 4 2 4" xfId="1068" xr:uid="{00000000-0005-0000-0000-00002C040000}"/>
    <cellStyle name="Normal 18 4 2 4 2" xfId="1069" xr:uid="{00000000-0005-0000-0000-00002D040000}"/>
    <cellStyle name="Normal 18 4 2 4 2 2" xfId="1070" xr:uid="{00000000-0005-0000-0000-00002E040000}"/>
    <cellStyle name="Normal 18 4 2 4 2 2 2" xfId="1071" xr:uid="{00000000-0005-0000-0000-00002F040000}"/>
    <cellStyle name="Normal 18 4 2 4 2 3" xfId="1072" xr:uid="{00000000-0005-0000-0000-000030040000}"/>
    <cellStyle name="Normal 18 4 2 4 3" xfId="1073" xr:uid="{00000000-0005-0000-0000-000031040000}"/>
    <cellStyle name="Normal 18 4 2 4 3 2" xfId="1074" xr:uid="{00000000-0005-0000-0000-000032040000}"/>
    <cellStyle name="Normal 18 4 2 4 4" xfId="1075" xr:uid="{00000000-0005-0000-0000-000033040000}"/>
    <cellStyle name="Normal 18 4 2 4 4 2" xfId="1076" xr:uid="{00000000-0005-0000-0000-000034040000}"/>
    <cellStyle name="Normal 18 4 2 4 5" xfId="1077" xr:uid="{00000000-0005-0000-0000-000035040000}"/>
    <cellStyle name="Normal 18 4 2 5" xfId="1078" xr:uid="{00000000-0005-0000-0000-000036040000}"/>
    <cellStyle name="Normal 18 4 2 5 2" xfId="1079" xr:uid="{00000000-0005-0000-0000-000037040000}"/>
    <cellStyle name="Normal 18 4 2 5 2 2" xfId="1080" xr:uid="{00000000-0005-0000-0000-000038040000}"/>
    <cellStyle name="Normal 18 4 2 5 2 2 2" xfId="1081" xr:uid="{00000000-0005-0000-0000-000039040000}"/>
    <cellStyle name="Normal 18 4 2 5 2 3" xfId="1082" xr:uid="{00000000-0005-0000-0000-00003A040000}"/>
    <cellStyle name="Normal 18 4 2 5 3" xfId="1083" xr:uid="{00000000-0005-0000-0000-00003B040000}"/>
    <cellStyle name="Normal 18 4 2 5 3 2" xfId="1084" xr:uid="{00000000-0005-0000-0000-00003C040000}"/>
    <cellStyle name="Normal 18 4 2 5 4" xfId="1085" xr:uid="{00000000-0005-0000-0000-00003D040000}"/>
    <cellStyle name="Normal 18 4 2 5 4 2" xfId="1086" xr:uid="{00000000-0005-0000-0000-00003E040000}"/>
    <cellStyle name="Normal 18 4 2 5 5" xfId="1087" xr:uid="{00000000-0005-0000-0000-00003F040000}"/>
    <cellStyle name="Normal 18 4 2 6" xfId="1088" xr:uid="{00000000-0005-0000-0000-000040040000}"/>
    <cellStyle name="Normal 18 4 2 6 2" xfId="1089" xr:uid="{00000000-0005-0000-0000-000041040000}"/>
    <cellStyle name="Normal 18 4 2 6 2 2" xfId="1090" xr:uid="{00000000-0005-0000-0000-000042040000}"/>
    <cellStyle name="Normal 18 4 2 6 3" xfId="1091" xr:uid="{00000000-0005-0000-0000-000043040000}"/>
    <cellStyle name="Normal 18 4 2 7" xfId="1092" xr:uid="{00000000-0005-0000-0000-000044040000}"/>
    <cellStyle name="Normal 18 4 2 7 2" xfId="1093" xr:uid="{00000000-0005-0000-0000-000045040000}"/>
    <cellStyle name="Normal 18 4 2 7 2 2" xfId="1094" xr:uid="{00000000-0005-0000-0000-000046040000}"/>
    <cellStyle name="Normal 18 4 2 7 3" xfId="1095" xr:uid="{00000000-0005-0000-0000-000047040000}"/>
    <cellStyle name="Normal 18 4 2 8" xfId="1096" xr:uid="{00000000-0005-0000-0000-000048040000}"/>
    <cellStyle name="Normal 18 4 2 8 2" xfId="1097" xr:uid="{00000000-0005-0000-0000-000049040000}"/>
    <cellStyle name="Normal 18 4 2 9" xfId="1098" xr:uid="{00000000-0005-0000-0000-00004A040000}"/>
    <cellStyle name="Normal 18 4 2 9 2" xfId="1099" xr:uid="{00000000-0005-0000-0000-00004B040000}"/>
    <cellStyle name="Normal 18 4 3" xfId="1100" xr:uid="{00000000-0005-0000-0000-00004C040000}"/>
    <cellStyle name="Normal 18 4 3 2" xfId="1101" xr:uid="{00000000-0005-0000-0000-00004D040000}"/>
    <cellStyle name="Normal 18 4 3 2 2" xfId="1102" xr:uid="{00000000-0005-0000-0000-00004E040000}"/>
    <cellStyle name="Normal 18 4 3 2 2 2" xfId="1103" xr:uid="{00000000-0005-0000-0000-00004F040000}"/>
    <cellStyle name="Normal 18 4 3 2 2 2 2" xfId="1104" xr:uid="{00000000-0005-0000-0000-000050040000}"/>
    <cellStyle name="Normal 18 4 3 2 2 3" xfId="1105" xr:uid="{00000000-0005-0000-0000-000051040000}"/>
    <cellStyle name="Normal 18 4 3 2 3" xfId="1106" xr:uid="{00000000-0005-0000-0000-000052040000}"/>
    <cellStyle name="Normal 18 4 3 2 3 2" xfId="1107" xr:uid="{00000000-0005-0000-0000-000053040000}"/>
    <cellStyle name="Normal 18 4 3 2 3 2 2" xfId="1108" xr:uid="{00000000-0005-0000-0000-000054040000}"/>
    <cellStyle name="Normal 18 4 3 2 3 3" xfId="1109" xr:uid="{00000000-0005-0000-0000-000055040000}"/>
    <cellStyle name="Normal 18 4 3 2 4" xfId="1110" xr:uid="{00000000-0005-0000-0000-000056040000}"/>
    <cellStyle name="Normal 18 4 3 2 4 2" xfId="1111" xr:uid="{00000000-0005-0000-0000-000057040000}"/>
    <cellStyle name="Normal 18 4 3 2 5" xfId="1112" xr:uid="{00000000-0005-0000-0000-000058040000}"/>
    <cellStyle name="Normal 18 4 3 2 5 2" xfId="1113" xr:uid="{00000000-0005-0000-0000-000059040000}"/>
    <cellStyle name="Normal 18 4 3 2 6" xfId="1114" xr:uid="{00000000-0005-0000-0000-00005A040000}"/>
    <cellStyle name="Normal 18 4 3 3" xfId="1115" xr:uid="{00000000-0005-0000-0000-00005B040000}"/>
    <cellStyle name="Normal 18 4 3 3 2" xfId="1116" xr:uid="{00000000-0005-0000-0000-00005C040000}"/>
    <cellStyle name="Normal 18 4 3 3 2 2" xfId="1117" xr:uid="{00000000-0005-0000-0000-00005D040000}"/>
    <cellStyle name="Normal 18 4 3 3 3" xfId="1118" xr:uid="{00000000-0005-0000-0000-00005E040000}"/>
    <cellStyle name="Normal 18 4 3 4" xfId="1119" xr:uid="{00000000-0005-0000-0000-00005F040000}"/>
    <cellStyle name="Normal 18 4 3 4 2" xfId="1120" xr:uid="{00000000-0005-0000-0000-000060040000}"/>
    <cellStyle name="Normal 18 4 3 4 2 2" xfId="1121" xr:uid="{00000000-0005-0000-0000-000061040000}"/>
    <cellStyle name="Normal 18 4 3 4 3" xfId="1122" xr:uid="{00000000-0005-0000-0000-000062040000}"/>
    <cellStyle name="Normal 18 4 3 5" xfId="1123" xr:uid="{00000000-0005-0000-0000-000063040000}"/>
    <cellStyle name="Normal 18 4 3 5 2" xfId="1124" xr:uid="{00000000-0005-0000-0000-000064040000}"/>
    <cellStyle name="Normal 18 4 3 6" xfId="1125" xr:uid="{00000000-0005-0000-0000-000065040000}"/>
    <cellStyle name="Normal 18 4 3 6 2" xfId="1126" xr:uid="{00000000-0005-0000-0000-000066040000}"/>
    <cellStyle name="Normal 18 4 3 7" xfId="1127" xr:uid="{00000000-0005-0000-0000-000067040000}"/>
    <cellStyle name="Normal 18 4 4" xfId="1128" xr:uid="{00000000-0005-0000-0000-000068040000}"/>
    <cellStyle name="Normal 18 4 4 2" xfId="1129" xr:uid="{00000000-0005-0000-0000-000069040000}"/>
    <cellStyle name="Normal 18 4 4 2 2" xfId="1130" xr:uid="{00000000-0005-0000-0000-00006A040000}"/>
    <cellStyle name="Normal 18 4 4 2 2 2" xfId="1131" xr:uid="{00000000-0005-0000-0000-00006B040000}"/>
    <cellStyle name="Normal 18 4 4 2 3" xfId="1132" xr:uid="{00000000-0005-0000-0000-00006C040000}"/>
    <cellStyle name="Normal 18 4 4 3" xfId="1133" xr:uid="{00000000-0005-0000-0000-00006D040000}"/>
    <cellStyle name="Normal 18 4 4 3 2" xfId="1134" xr:uid="{00000000-0005-0000-0000-00006E040000}"/>
    <cellStyle name="Normal 18 4 4 3 2 2" xfId="1135" xr:uid="{00000000-0005-0000-0000-00006F040000}"/>
    <cellStyle name="Normal 18 4 4 3 3" xfId="1136" xr:uid="{00000000-0005-0000-0000-000070040000}"/>
    <cellStyle name="Normal 18 4 4 4" xfId="1137" xr:uid="{00000000-0005-0000-0000-000071040000}"/>
    <cellStyle name="Normal 18 4 4 4 2" xfId="1138" xr:uid="{00000000-0005-0000-0000-000072040000}"/>
    <cellStyle name="Normal 18 4 4 5" xfId="1139" xr:uid="{00000000-0005-0000-0000-000073040000}"/>
    <cellStyle name="Normal 18 4 4 5 2" xfId="1140" xr:uid="{00000000-0005-0000-0000-000074040000}"/>
    <cellStyle name="Normal 18 4 4 6" xfId="1141" xr:uid="{00000000-0005-0000-0000-000075040000}"/>
    <cellStyle name="Normal 18 4 5" xfId="1142" xr:uid="{00000000-0005-0000-0000-000076040000}"/>
    <cellStyle name="Normal 18 4 5 2" xfId="1143" xr:uid="{00000000-0005-0000-0000-000077040000}"/>
    <cellStyle name="Normal 18 4 5 2 2" xfId="1144" xr:uid="{00000000-0005-0000-0000-000078040000}"/>
    <cellStyle name="Normal 18 4 5 2 2 2" xfId="1145" xr:uid="{00000000-0005-0000-0000-000079040000}"/>
    <cellStyle name="Normal 18 4 5 2 3" xfId="1146" xr:uid="{00000000-0005-0000-0000-00007A040000}"/>
    <cellStyle name="Normal 18 4 5 3" xfId="1147" xr:uid="{00000000-0005-0000-0000-00007B040000}"/>
    <cellStyle name="Normal 18 4 5 3 2" xfId="1148" xr:uid="{00000000-0005-0000-0000-00007C040000}"/>
    <cellStyle name="Normal 18 4 5 4" xfId="1149" xr:uid="{00000000-0005-0000-0000-00007D040000}"/>
    <cellStyle name="Normal 18 4 5 4 2" xfId="1150" xr:uid="{00000000-0005-0000-0000-00007E040000}"/>
    <cellStyle name="Normal 18 4 5 5" xfId="1151" xr:uid="{00000000-0005-0000-0000-00007F040000}"/>
    <cellStyle name="Normal 18 4 6" xfId="1152" xr:uid="{00000000-0005-0000-0000-000080040000}"/>
    <cellStyle name="Normal 18 4 6 2" xfId="1153" xr:uid="{00000000-0005-0000-0000-000081040000}"/>
    <cellStyle name="Normal 18 4 6 2 2" xfId="1154" xr:uid="{00000000-0005-0000-0000-000082040000}"/>
    <cellStyle name="Normal 18 4 6 2 2 2" xfId="1155" xr:uid="{00000000-0005-0000-0000-000083040000}"/>
    <cellStyle name="Normal 18 4 6 2 3" xfId="1156" xr:uid="{00000000-0005-0000-0000-000084040000}"/>
    <cellStyle name="Normal 18 4 6 3" xfId="1157" xr:uid="{00000000-0005-0000-0000-000085040000}"/>
    <cellStyle name="Normal 18 4 6 3 2" xfId="1158" xr:uid="{00000000-0005-0000-0000-000086040000}"/>
    <cellStyle name="Normal 18 4 6 4" xfId="1159" xr:uid="{00000000-0005-0000-0000-000087040000}"/>
    <cellStyle name="Normal 18 4 6 4 2" xfId="1160" xr:uid="{00000000-0005-0000-0000-000088040000}"/>
    <cellStyle name="Normal 18 4 6 5" xfId="1161" xr:uid="{00000000-0005-0000-0000-000089040000}"/>
    <cellStyle name="Normal 18 4 7" xfId="1162" xr:uid="{00000000-0005-0000-0000-00008A040000}"/>
    <cellStyle name="Normal 18 4 7 2" xfId="1163" xr:uid="{00000000-0005-0000-0000-00008B040000}"/>
    <cellStyle name="Normal 18 4 7 2 2" xfId="1164" xr:uid="{00000000-0005-0000-0000-00008C040000}"/>
    <cellStyle name="Normal 18 4 7 3" xfId="1165" xr:uid="{00000000-0005-0000-0000-00008D040000}"/>
    <cellStyle name="Normal 18 4 8" xfId="1166" xr:uid="{00000000-0005-0000-0000-00008E040000}"/>
    <cellStyle name="Normal 18 4 8 2" xfId="1167" xr:uid="{00000000-0005-0000-0000-00008F040000}"/>
    <cellStyle name="Normal 18 4 8 2 2" xfId="1168" xr:uid="{00000000-0005-0000-0000-000090040000}"/>
    <cellStyle name="Normal 18 4 8 3" xfId="1169" xr:uid="{00000000-0005-0000-0000-000091040000}"/>
    <cellStyle name="Normal 18 4 9" xfId="1170" xr:uid="{00000000-0005-0000-0000-000092040000}"/>
    <cellStyle name="Normal 18 4 9 2" xfId="1171" xr:uid="{00000000-0005-0000-0000-000093040000}"/>
    <cellStyle name="Normal 18 5" xfId="1172" xr:uid="{00000000-0005-0000-0000-000094040000}"/>
    <cellStyle name="Normal 18 5 10" xfId="1173" xr:uid="{00000000-0005-0000-0000-000095040000}"/>
    <cellStyle name="Normal 18 5 2" xfId="1174" xr:uid="{00000000-0005-0000-0000-000096040000}"/>
    <cellStyle name="Normal 18 5 2 2" xfId="1175" xr:uid="{00000000-0005-0000-0000-000097040000}"/>
    <cellStyle name="Normal 18 5 2 2 2" xfId="1176" xr:uid="{00000000-0005-0000-0000-000098040000}"/>
    <cellStyle name="Normal 18 5 2 2 2 2" xfId="1177" xr:uid="{00000000-0005-0000-0000-000099040000}"/>
    <cellStyle name="Normal 18 5 2 2 2 2 2" xfId="1178" xr:uid="{00000000-0005-0000-0000-00009A040000}"/>
    <cellStyle name="Normal 18 5 2 2 2 3" xfId="1179" xr:uid="{00000000-0005-0000-0000-00009B040000}"/>
    <cellStyle name="Normal 18 5 2 2 3" xfId="1180" xr:uid="{00000000-0005-0000-0000-00009C040000}"/>
    <cellStyle name="Normal 18 5 2 2 3 2" xfId="1181" xr:uid="{00000000-0005-0000-0000-00009D040000}"/>
    <cellStyle name="Normal 18 5 2 2 3 2 2" xfId="1182" xr:uid="{00000000-0005-0000-0000-00009E040000}"/>
    <cellStyle name="Normal 18 5 2 2 3 3" xfId="1183" xr:uid="{00000000-0005-0000-0000-00009F040000}"/>
    <cellStyle name="Normal 18 5 2 2 4" xfId="1184" xr:uid="{00000000-0005-0000-0000-0000A0040000}"/>
    <cellStyle name="Normal 18 5 2 2 4 2" xfId="1185" xr:uid="{00000000-0005-0000-0000-0000A1040000}"/>
    <cellStyle name="Normal 18 5 2 2 5" xfId="1186" xr:uid="{00000000-0005-0000-0000-0000A2040000}"/>
    <cellStyle name="Normal 18 5 2 2 5 2" xfId="1187" xr:uid="{00000000-0005-0000-0000-0000A3040000}"/>
    <cellStyle name="Normal 18 5 2 2 6" xfId="1188" xr:uid="{00000000-0005-0000-0000-0000A4040000}"/>
    <cellStyle name="Normal 18 5 2 3" xfId="1189" xr:uid="{00000000-0005-0000-0000-0000A5040000}"/>
    <cellStyle name="Normal 18 5 2 3 2" xfId="1190" xr:uid="{00000000-0005-0000-0000-0000A6040000}"/>
    <cellStyle name="Normal 18 5 2 3 2 2" xfId="1191" xr:uid="{00000000-0005-0000-0000-0000A7040000}"/>
    <cellStyle name="Normal 18 5 2 3 3" xfId="1192" xr:uid="{00000000-0005-0000-0000-0000A8040000}"/>
    <cellStyle name="Normal 18 5 2 4" xfId="1193" xr:uid="{00000000-0005-0000-0000-0000A9040000}"/>
    <cellStyle name="Normal 18 5 2 4 2" xfId="1194" xr:uid="{00000000-0005-0000-0000-0000AA040000}"/>
    <cellStyle name="Normal 18 5 2 4 2 2" xfId="1195" xr:uid="{00000000-0005-0000-0000-0000AB040000}"/>
    <cellStyle name="Normal 18 5 2 4 3" xfId="1196" xr:uid="{00000000-0005-0000-0000-0000AC040000}"/>
    <cellStyle name="Normal 18 5 2 5" xfId="1197" xr:uid="{00000000-0005-0000-0000-0000AD040000}"/>
    <cellStyle name="Normal 18 5 2 5 2" xfId="1198" xr:uid="{00000000-0005-0000-0000-0000AE040000}"/>
    <cellStyle name="Normal 18 5 2 6" xfId="1199" xr:uid="{00000000-0005-0000-0000-0000AF040000}"/>
    <cellStyle name="Normal 18 5 2 6 2" xfId="1200" xr:uid="{00000000-0005-0000-0000-0000B0040000}"/>
    <cellStyle name="Normal 18 5 2 7" xfId="1201" xr:uid="{00000000-0005-0000-0000-0000B1040000}"/>
    <cellStyle name="Normal 18 5 3" xfId="1202" xr:uid="{00000000-0005-0000-0000-0000B2040000}"/>
    <cellStyle name="Normal 18 5 3 2" xfId="1203" xr:uid="{00000000-0005-0000-0000-0000B3040000}"/>
    <cellStyle name="Normal 18 5 3 2 2" xfId="1204" xr:uid="{00000000-0005-0000-0000-0000B4040000}"/>
    <cellStyle name="Normal 18 5 3 2 2 2" xfId="1205" xr:uid="{00000000-0005-0000-0000-0000B5040000}"/>
    <cellStyle name="Normal 18 5 3 2 3" xfId="1206" xr:uid="{00000000-0005-0000-0000-0000B6040000}"/>
    <cellStyle name="Normal 18 5 3 3" xfId="1207" xr:uid="{00000000-0005-0000-0000-0000B7040000}"/>
    <cellStyle name="Normal 18 5 3 3 2" xfId="1208" xr:uid="{00000000-0005-0000-0000-0000B8040000}"/>
    <cellStyle name="Normal 18 5 3 3 2 2" xfId="1209" xr:uid="{00000000-0005-0000-0000-0000B9040000}"/>
    <cellStyle name="Normal 18 5 3 3 3" xfId="1210" xr:uid="{00000000-0005-0000-0000-0000BA040000}"/>
    <cellStyle name="Normal 18 5 3 4" xfId="1211" xr:uid="{00000000-0005-0000-0000-0000BB040000}"/>
    <cellStyle name="Normal 18 5 3 4 2" xfId="1212" xr:uid="{00000000-0005-0000-0000-0000BC040000}"/>
    <cellStyle name="Normal 18 5 3 5" xfId="1213" xr:uid="{00000000-0005-0000-0000-0000BD040000}"/>
    <cellStyle name="Normal 18 5 3 5 2" xfId="1214" xr:uid="{00000000-0005-0000-0000-0000BE040000}"/>
    <cellStyle name="Normal 18 5 3 6" xfId="1215" xr:uid="{00000000-0005-0000-0000-0000BF040000}"/>
    <cellStyle name="Normal 18 5 4" xfId="1216" xr:uid="{00000000-0005-0000-0000-0000C0040000}"/>
    <cellStyle name="Normal 18 5 4 2" xfId="1217" xr:uid="{00000000-0005-0000-0000-0000C1040000}"/>
    <cellStyle name="Normal 18 5 4 2 2" xfId="1218" xr:uid="{00000000-0005-0000-0000-0000C2040000}"/>
    <cellStyle name="Normal 18 5 4 2 2 2" xfId="1219" xr:uid="{00000000-0005-0000-0000-0000C3040000}"/>
    <cellStyle name="Normal 18 5 4 2 3" xfId="1220" xr:uid="{00000000-0005-0000-0000-0000C4040000}"/>
    <cellStyle name="Normal 18 5 4 3" xfId="1221" xr:uid="{00000000-0005-0000-0000-0000C5040000}"/>
    <cellStyle name="Normal 18 5 4 3 2" xfId="1222" xr:uid="{00000000-0005-0000-0000-0000C6040000}"/>
    <cellStyle name="Normal 18 5 4 4" xfId="1223" xr:uid="{00000000-0005-0000-0000-0000C7040000}"/>
    <cellStyle name="Normal 18 5 4 4 2" xfId="1224" xr:uid="{00000000-0005-0000-0000-0000C8040000}"/>
    <cellStyle name="Normal 18 5 4 5" xfId="1225" xr:uid="{00000000-0005-0000-0000-0000C9040000}"/>
    <cellStyle name="Normal 18 5 5" xfId="1226" xr:uid="{00000000-0005-0000-0000-0000CA040000}"/>
    <cellStyle name="Normal 18 5 5 2" xfId="1227" xr:uid="{00000000-0005-0000-0000-0000CB040000}"/>
    <cellStyle name="Normal 18 5 5 2 2" xfId="1228" xr:uid="{00000000-0005-0000-0000-0000CC040000}"/>
    <cellStyle name="Normal 18 5 5 2 2 2" xfId="1229" xr:uid="{00000000-0005-0000-0000-0000CD040000}"/>
    <cellStyle name="Normal 18 5 5 2 3" xfId="1230" xr:uid="{00000000-0005-0000-0000-0000CE040000}"/>
    <cellStyle name="Normal 18 5 5 3" xfId="1231" xr:uid="{00000000-0005-0000-0000-0000CF040000}"/>
    <cellStyle name="Normal 18 5 5 3 2" xfId="1232" xr:uid="{00000000-0005-0000-0000-0000D0040000}"/>
    <cellStyle name="Normal 18 5 5 4" xfId="1233" xr:uid="{00000000-0005-0000-0000-0000D1040000}"/>
    <cellStyle name="Normal 18 5 5 4 2" xfId="1234" xr:uid="{00000000-0005-0000-0000-0000D2040000}"/>
    <cellStyle name="Normal 18 5 5 5" xfId="1235" xr:uid="{00000000-0005-0000-0000-0000D3040000}"/>
    <cellStyle name="Normal 18 5 6" xfId="1236" xr:uid="{00000000-0005-0000-0000-0000D4040000}"/>
    <cellStyle name="Normal 18 5 6 2" xfId="1237" xr:uid="{00000000-0005-0000-0000-0000D5040000}"/>
    <cellStyle name="Normal 18 5 6 2 2" xfId="1238" xr:uid="{00000000-0005-0000-0000-0000D6040000}"/>
    <cellStyle name="Normal 18 5 6 3" xfId="1239" xr:uid="{00000000-0005-0000-0000-0000D7040000}"/>
    <cellStyle name="Normal 18 5 7" xfId="1240" xr:uid="{00000000-0005-0000-0000-0000D8040000}"/>
    <cellStyle name="Normal 18 5 7 2" xfId="1241" xr:uid="{00000000-0005-0000-0000-0000D9040000}"/>
    <cellStyle name="Normal 18 5 7 2 2" xfId="1242" xr:uid="{00000000-0005-0000-0000-0000DA040000}"/>
    <cellStyle name="Normal 18 5 7 3" xfId="1243" xr:uid="{00000000-0005-0000-0000-0000DB040000}"/>
    <cellStyle name="Normal 18 5 8" xfId="1244" xr:uid="{00000000-0005-0000-0000-0000DC040000}"/>
    <cellStyle name="Normal 18 5 8 2" xfId="1245" xr:uid="{00000000-0005-0000-0000-0000DD040000}"/>
    <cellStyle name="Normal 18 5 9" xfId="1246" xr:uid="{00000000-0005-0000-0000-0000DE040000}"/>
    <cellStyle name="Normal 18 5 9 2" xfId="1247" xr:uid="{00000000-0005-0000-0000-0000DF040000}"/>
    <cellStyle name="Normal 18 6" xfId="1248" xr:uid="{00000000-0005-0000-0000-0000E0040000}"/>
    <cellStyle name="Normal 18 6 2" xfId="1249" xr:uid="{00000000-0005-0000-0000-0000E1040000}"/>
    <cellStyle name="Normal 18 6 2 2" xfId="1250" xr:uid="{00000000-0005-0000-0000-0000E2040000}"/>
    <cellStyle name="Normal 18 6 2 2 2" xfId="1251" xr:uid="{00000000-0005-0000-0000-0000E3040000}"/>
    <cellStyle name="Normal 18 6 2 2 2 2" xfId="1252" xr:uid="{00000000-0005-0000-0000-0000E4040000}"/>
    <cellStyle name="Normal 18 6 2 2 2 2 2" xfId="1253" xr:uid="{00000000-0005-0000-0000-0000E5040000}"/>
    <cellStyle name="Normal 18 6 2 2 2 3" xfId="1254" xr:uid="{00000000-0005-0000-0000-0000E6040000}"/>
    <cellStyle name="Normal 18 6 2 2 3" xfId="1255" xr:uid="{00000000-0005-0000-0000-0000E7040000}"/>
    <cellStyle name="Normal 18 6 2 2 3 2" xfId="1256" xr:uid="{00000000-0005-0000-0000-0000E8040000}"/>
    <cellStyle name="Normal 18 6 2 2 3 2 2" xfId="1257" xr:uid="{00000000-0005-0000-0000-0000E9040000}"/>
    <cellStyle name="Normal 18 6 2 2 3 3" xfId="1258" xr:uid="{00000000-0005-0000-0000-0000EA040000}"/>
    <cellStyle name="Normal 18 6 2 2 4" xfId="1259" xr:uid="{00000000-0005-0000-0000-0000EB040000}"/>
    <cellStyle name="Normal 18 6 2 2 4 2" xfId="1260" xr:uid="{00000000-0005-0000-0000-0000EC040000}"/>
    <cellStyle name="Normal 18 6 2 2 5" xfId="1261" xr:uid="{00000000-0005-0000-0000-0000ED040000}"/>
    <cellStyle name="Normal 18 6 2 2 5 2" xfId="1262" xr:uid="{00000000-0005-0000-0000-0000EE040000}"/>
    <cellStyle name="Normal 18 6 2 2 6" xfId="1263" xr:uid="{00000000-0005-0000-0000-0000EF040000}"/>
    <cellStyle name="Normal 18 6 2 3" xfId="1264" xr:uid="{00000000-0005-0000-0000-0000F0040000}"/>
    <cellStyle name="Normal 18 6 2 3 2" xfId="1265" xr:uid="{00000000-0005-0000-0000-0000F1040000}"/>
    <cellStyle name="Normal 18 6 2 3 2 2" xfId="1266" xr:uid="{00000000-0005-0000-0000-0000F2040000}"/>
    <cellStyle name="Normal 18 6 2 3 3" xfId="1267" xr:uid="{00000000-0005-0000-0000-0000F3040000}"/>
    <cellStyle name="Normal 18 6 2 4" xfId="1268" xr:uid="{00000000-0005-0000-0000-0000F4040000}"/>
    <cellStyle name="Normal 18 6 2 4 2" xfId="1269" xr:uid="{00000000-0005-0000-0000-0000F5040000}"/>
    <cellStyle name="Normal 18 6 2 4 2 2" xfId="1270" xr:uid="{00000000-0005-0000-0000-0000F6040000}"/>
    <cellStyle name="Normal 18 6 2 4 3" xfId="1271" xr:uid="{00000000-0005-0000-0000-0000F7040000}"/>
    <cellStyle name="Normal 18 6 2 5" xfId="1272" xr:uid="{00000000-0005-0000-0000-0000F8040000}"/>
    <cellStyle name="Normal 18 6 2 5 2" xfId="1273" xr:uid="{00000000-0005-0000-0000-0000F9040000}"/>
    <cellStyle name="Normal 18 6 2 6" xfId="1274" xr:uid="{00000000-0005-0000-0000-0000FA040000}"/>
    <cellStyle name="Normal 18 6 2 6 2" xfId="1275" xr:uid="{00000000-0005-0000-0000-0000FB040000}"/>
    <cellStyle name="Normal 18 6 2 7" xfId="1276" xr:uid="{00000000-0005-0000-0000-0000FC040000}"/>
    <cellStyle name="Normal 18 6 3" xfId="1277" xr:uid="{00000000-0005-0000-0000-0000FD040000}"/>
    <cellStyle name="Normal 18 6 3 2" xfId="1278" xr:uid="{00000000-0005-0000-0000-0000FE040000}"/>
    <cellStyle name="Normal 18 6 3 2 2" xfId="1279" xr:uid="{00000000-0005-0000-0000-0000FF040000}"/>
    <cellStyle name="Normal 18 6 3 2 2 2" xfId="1280" xr:uid="{00000000-0005-0000-0000-000000050000}"/>
    <cellStyle name="Normal 18 6 3 2 3" xfId="1281" xr:uid="{00000000-0005-0000-0000-000001050000}"/>
    <cellStyle name="Normal 18 6 3 3" xfId="1282" xr:uid="{00000000-0005-0000-0000-000002050000}"/>
    <cellStyle name="Normal 18 6 3 3 2" xfId="1283" xr:uid="{00000000-0005-0000-0000-000003050000}"/>
    <cellStyle name="Normal 18 6 3 3 2 2" xfId="1284" xr:uid="{00000000-0005-0000-0000-000004050000}"/>
    <cellStyle name="Normal 18 6 3 3 3" xfId="1285" xr:uid="{00000000-0005-0000-0000-000005050000}"/>
    <cellStyle name="Normal 18 6 3 4" xfId="1286" xr:uid="{00000000-0005-0000-0000-000006050000}"/>
    <cellStyle name="Normal 18 6 3 4 2" xfId="1287" xr:uid="{00000000-0005-0000-0000-000007050000}"/>
    <cellStyle name="Normal 18 6 3 5" xfId="1288" xr:uid="{00000000-0005-0000-0000-000008050000}"/>
    <cellStyle name="Normal 18 6 3 5 2" xfId="1289" xr:uid="{00000000-0005-0000-0000-000009050000}"/>
    <cellStyle name="Normal 18 6 3 6" xfId="1290" xr:uid="{00000000-0005-0000-0000-00000A050000}"/>
    <cellStyle name="Normal 18 6 4" xfId="1291" xr:uid="{00000000-0005-0000-0000-00000B050000}"/>
    <cellStyle name="Normal 18 6 4 2" xfId="1292" xr:uid="{00000000-0005-0000-0000-00000C050000}"/>
    <cellStyle name="Normal 18 6 4 2 2" xfId="1293" xr:uid="{00000000-0005-0000-0000-00000D050000}"/>
    <cellStyle name="Normal 18 6 4 3" xfId="1294" xr:uid="{00000000-0005-0000-0000-00000E050000}"/>
    <cellStyle name="Normal 18 6 5" xfId="1295" xr:uid="{00000000-0005-0000-0000-00000F050000}"/>
    <cellStyle name="Normal 18 6 5 2" xfId="1296" xr:uid="{00000000-0005-0000-0000-000010050000}"/>
    <cellStyle name="Normal 18 6 5 2 2" xfId="1297" xr:uid="{00000000-0005-0000-0000-000011050000}"/>
    <cellStyle name="Normal 18 6 5 3" xfId="1298" xr:uid="{00000000-0005-0000-0000-000012050000}"/>
    <cellStyle name="Normal 18 6 6" xfId="1299" xr:uid="{00000000-0005-0000-0000-000013050000}"/>
    <cellStyle name="Normal 18 6 6 2" xfId="1300" xr:uid="{00000000-0005-0000-0000-000014050000}"/>
    <cellStyle name="Normal 18 6 7" xfId="1301" xr:uid="{00000000-0005-0000-0000-000015050000}"/>
    <cellStyle name="Normal 18 6 7 2" xfId="1302" xr:uid="{00000000-0005-0000-0000-000016050000}"/>
    <cellStyle name="Normal 18 6 8" xfId="1303" xr:uid="{00000000-0005-0000-0000-000017050000}"/>
    <cellStyle name="Normal 18 7" xfId="1304" xr:uid="{00000000-0005-0000-0000-000018050000}"/>
    <cellStyle name="Normal 18 7 2" xfId="1305" xr:uid="{00000000-0005-0000-0000-000019050000}"/>
    <cellStyle name="Normal 18 7 2 2" xfId="1306" xr:uid="{00000000-0005-0000-0000-00001A050000}"/>
    <cellStyle name="Normal 18 7 2 2 2" xfId="1307" xr:uid="{00000000-0005-0000-0000-00001B050000}"/>
    <cellStyle name="Normal 18 7 2 2 2 2" xfId="1308" xr:uid="{00000000-0005-0000-0000-00001C050000}"/>
    <cellStyle name="Normal 18 7 2 2 3" xfId="1309" xr:uid="{00000000-0005-0000-0000-00001D050000}"/>
    <cellStyle name="Normal 18 7 2 3" xfId="1310" xr:uid="{00000000-0005-0000-0000-00001E050000}"/>
    <cellStyle name="Normal 18 7 2 3 2" xfId="1311" xr:uid="{00000000-0005-0000-0000-00001F050000}"/>
    <cellStyle name="Normal 18 7 2 3 2 2" xfId="1312" xr:uid="{00000000-0005-0000-0000-000020050000}"/>
    <cellStyle name="Normal 18 7 2 3 3" xfId="1313" xr:uid="{00000000-0005-0000-0000-000021050000}"/>
    <cellStyle name="Normal 18 7 2 4" xfId="1314" xr:uid="{00000000-0005-0000-0000-000022050000}"/>
    <cellStyle name="Normal 18 7 2 4 2" xfId="1315" xr:uid="{00000000-0005-0000-0000-000023050000}"/>
    <cellStyle name="Normal 18 7 2 5" xfId="1316" xr:uid="{00000000-0005-0000-0000-000024050000}"/>
    <cellStyle name="Normal 18 7 2 5 2" xfId="1317" xr:uid="{00000000-0005-0000-0000-000025050000}"/>
    <cellStyle name="Normal 18 7 2 6" xfId="1318" xr:uid="{00000000-0005-0000-0000-000026050000}"/>
    <cellStyle name="Normal 18 7 3" xfId="1319" xr:uid="{00000000-0005-0000-0000-000027050000}"/>
    <cellStyle name="Normal 18 7 3 2" xfId="1320" xr:uid="{00000000-0005-0000-0000-000028050000}"/>
    <cellStyle name="Normal 18 7 3 2 2" xfId="1321" xr:uid="{00000000-0005-0000-0000-000029050000}"/>
    <cellStyle name="Normal 18 7 3 3" xfId="1322" xr:uid="{00000000-0005-0000-0000-00002A050000}"/>
    <cellStyle name="Normal 18 7 4" xfId="1323" xr:uid="{00000000-0005-0000-0000-00002B050000}"/>
    <cellStyle name="Normal 18 7 4 2" xfId="1324" xr:uid="{00000000-0005-0000-0000-00002C050000}"/>
    <cellStyle name="Normal 18 7 4 2 2" xfId="1325" xr:uid="{00000000-0005-0000-0000-00002D050000}"/>
    <cellStyle name="Normal 18 7 4 3" xfId="1326" xr:uid="{00000000-0005-0000-0000-00002E050000}"/>
    <cellStyle name="Normal 18 7 5" xfId="1327" xr:uid="{00000000-0005-0000-0000-00002F050000}"/>
    <cellStyle name="Normal 18 7 5 2" xfId="1328" xr:uid="{00000000-0005-0000-0000-000030050000}"/>
    <cellStyle name="Normal 18 7 6" xfId="1329" xr:uid="{00000000-0005-0000-0000-000031050000}"/>
    <cellStyle name="Normal 18 7 6 2" xfId="1330" xr:uid="{00000000-0005-0000-0000-000032050000}"/>
    <cellStyle name="Normal 18 7 7" xfId="1331" xr:uid="{00000000-0005-0000-0000-000033050000}"/>
    <cellStyle name="Normal 18 8" xfId="1332" xr:uid="{00000000-0005-0000-0000-000034050000}"/>
    <cellStyle name="Normal 18 8 2" xfId="1333" xr:uid="{00000000-0005-0000-0000-000035050000}"/>
    <cellStyle name="Normal 18 8 2 2" xfId="1334" xr:uid="{00000000-0005-0000-0000-000036050000}"/>
    <cellStyle name="Normal 18 8 2 2 2" xfId="1335" xr:uid="{00000000-0005-0000-0000-000037050000}"/>
    <cellStyle name="Normal 18 8 2 2 2 2" xfId="1336" xr:uid="{00000000-0005-0000-0000-000038050000}"/>
    <cellStyle name="Normal 18 8 2 2 3" xfId="1337" xr:uid="{00000000-0005-0000-0000-000039050000}"/>
    <cellStyle name="Normal 18 8 2 3" xfId="1338" xr:uid="{00000000-0005-0000-0000-00003A050000}"/>
    <cellStyle name="Normal 18 8 2 3 2" xfId="1339" xr:uid="{00000000-0005-0000-0000-00003B050000}"/>
    <cellStyle name="Normal 18 8 2 3 2 2" xfId="1340" xr:uid="{00000000-0005-0000-0000-00003C050000}"/>
    <cellStyle name="Normal 18 8 2 3 3" xfId="1341" xr:uid="{00000000-0005-0000-0000-00003D050000}"/>
    <cellStyle name="Normal 18 8 2 4" xfId="1342" xr:uid="{00000000-0005-0000-0000-00003E050000}"/>
    <cellStyle name="Normal 18 8 2 4 2" xfId="1343" xr:uid="{00000000-0005-0000-0000-00003F050000}"/>
    <cellStyle name="Normal 18 8 2 5" xfId="1344" xr:uid="{00000000-0005-0000-0000-000040050000}"/>
    <cellStyle name="Normal 18 8 2 5 2" xfId="1345" xr:uid="{00000000-0005-0000-0000-000041050000}"/>
    <cellStyle name="Normal 18 8 2 6" xfId="1346" xr:uid="{00000000-0005-0000-0000-000042050000}"/>
    <cellStyle name="Normal 18 8 3" xfId="1347" xr:uid="{00000000-0005-0000-0000-000043050000}"/>
    <cellStyle name="Normal 18 8 3 2" xfId="1348" xr:uid="{00000000-0005-0000-0000-000044050000}"/>
    <cellStyle name="Normal 18 8 3 2 2" xfId="1349" xr:uid="{00000000-0005-0000-0000-000045050000}"/>
    <cellStyle name="Normal 18 8 3 3" xfId="1350" xr:uid="{00000000-0005-0000-0000-000046050000}"/>
    <cellStyle name="Normal 18 8 4" xfId="1351" xr:uid="{00000000-0005-0000-0000-000047050000}"/>
    <cellStyle name="Normal 18 8 4 2" xfId="1352" xr:uid="{00000000-0005-0000-0000-000048050000}"/>
    <cellStyle name="Normal 18 8 4 2 2" xfId="1353" xr:uid="{00000000-0005-0000-0000-000049050000}"/>
    <cellStyle name="Normal 18 8 4 3" xfId="1354" xr:uid="{00000000-0005-0000-0000-00004A050000}"/>
    <cellStyle name="Normal 18 8 5" xfId="1355" xr:uid="{00000000-0005-0000-0000-00004B050000}"/>
    <cellStyle name="Normal 18 8 5 2" xfId="1356" xr:uid="{00000000-0005-0000-0000-00004C050000}"/>
    <cellStyle name="Normal 18 8 6" xfId="1357" xr:uid="{00000000-0005-0000-0000-00004D050000}"/>
    <cellStyle name="Normal 18 8 6 2" xfId="1358" xr:uid="{00000000-0005-0000-0000-00004E050000}"/>
    <cellStyle name="Normal 18 8 7" xfId="1359" xr:uid="{00000000-0005-0000-0000-00004F050000}"/>
    <cellStyle name="Normal 18 9" xfId="1360" xr:uid="{00000000-0005-0000-0000-000050050000}"/>
    <cellStyle name="Normal 18 9 2" xfId="1361" xr:uid="{00000000-0005-0000-0000-000051050000}"/>
    <cellStyle name="Normal 18 9 2 2" xfId="1362" xr:uid="{00000000-0005-0000-0000-000052050000}"/>
    <cellStyle name="Normal 18 9 2 2 2" xfId="1363" xr:uid="{00000000-0005-0000-0000-000053050000}"/>
    <cellStyle name="Normal 18 9 2 3" xfId="1364" xr:uid="{00000000-0005-0000-0000-000054050000}"/>
    <cellStyle name="Normal 18 9 3" xfId="1365" xr:uid="{00000000-0005-0000-0000-000055050000}"/>
    <cellStyle name="Normal 18 9 3 2" xfId="1366" xr:uid="{00000000-0005-0000-0000-000056050000}"/>
    <cellStyle name="Normal 18 9 3 2 2" xfId="1367" xr:uid="{00000000-0005-0000-0000-000057050000}"/>
    <cellStyle name="Normal 18 9 3 3" xfId="1368" xr:uid="{00000000-0005-0000-0000-000058050000}"/>
    <cellStyle name="Normal 18 9 4" xfId="1369" xr:uid="{00000000-0005-0000-0000-000059050000}"/>
    <cellStyle name="Normal 18 9 4 2" xfId="1370" xr:uid="{00000000-0005-0000-0000-00005A050000}"/>
    <cellStyle name="Normal 18 9 5" xfId="1371" xr:uid="{00000000-0005-0000-0000-00005B050000}"/>
    <cellStyle name="Normal 18 9 5 2" xfId="1372" xr:uid="{00000000-0005-0000-0000-00005C050000}"/>
    <cellStyle name="Normal 18 9 6" xfId="1373" xr:uid="{00000000-0005-0000-0000-00005D050000}"/>
    <cellStyle name="Normal 19" xfId="1374" xr:uid="{00000000-0005-0000-0000-00005E050000}"/>
    <cellStyle name="Normal 19 2" xfId="1375" xr:uid="{00000000-0005-0000-0000-00005F050000}"/>
    <cellStyle name="Normal 19 3" xfId="1376" xr:uid="{00000000-0005-0000-0000-000060050000}"/>
    <cellStyle name="Normal 19 4" xfId="1377" xr:uid="{00000000-0005-0000-0000-000061050000}"/>
    <cellStyle name="Normal 2" xfId="1378" xr:uid="{00000000-0005-0000-0000-000062050000}"/>
    <cellStyle name="Normal 2 10" xfId="1379" xr:uid="{00000000-0005-0000-0000-000063050000}"/>
    <cellStyle name="Normal 2 10 2" xfId="1380" xr:uid="{00000000-0005-0000-0000-000064050000}"/>
    <cellStyle name="Normal 2 10 2 2" xfId="1381" xr:uid="{00000000-0005-0000-0000-000065050000}"/>
    <cellStyle name="Normal 2 11" xfId="1382" xr:uid="{00000000-0005-0000-0000-000066050000}"/>
    <cellStyle name="Normal 2 11 2" xfId="1383" xr:uid="{00000000-0005-0000-0000-000067050000}"/>
    <cellStyle name="Normal 2 12" xfId="1384" xr:uid="{00000000-0005-0000-0000-000068050000}"/>
    <cellStyle name="Normal 2 13" xfId="1385" xr:uid="{00000000-0005-0000-0000-000069050000}"/>
    <cellStyle name="Normal 2 13 2" xfId="1386" xr:uid="{00000000-0005-0000-0000-00006A050000}"/>
    <cellStyle name="Normal 2 14" xfId="1387" xr:uid="{00000000-0005-0000-0000-00006B050000}"/>
    <cellStyle name="Normal 2 14 2" xfId="1388" xr:uid="{00000000-0005-0000-0000-00006C050000}"/>
    <cellStyle name="Normal 2 15" xfId="1389" xr:uid="{00000000-0005-0000-0000-00006D050000}"/>
    <cellStyle name="Normal 2 16" xfId="1390" xr:uid="{00000000-0005-0000-0000-00006E050000}"/>
    <cellStyle name="Normal 2 16 2" xfId="1391" xr:uid="{00000000-0005-0000-0000-00006F050000}"/>
    <cellStyle name="Normal 2 2" xfId="1392" xr:uid="{00000000-0005-0000-0000-000070050000}"/>
    <cellStyle name="Normal 2 2 2" xfId="1393" xr:uid="{00000000-0005-0000-0000-000071050000}"/>
    <cellStyle name="Normal 2 2 2 2" xfId="1394" xr:uid="{00000000-0005-0000-0000-000072050000}"/>
    <cellStyle name="Normal 2 2 2 2 2" xfId="1395" xr:uid="{00000000-0005-0000-0000-000073050000}"/>
    <cellStyle name="Normal 2 2 2 3" xfId="1396" xr:uid="{00000000-0005-0000-0000-000074050000}"/>
    <cellStyle name="Normal 2 2 2 3 2" xfId="1397" xr:uid="{00000000-0005-0000-0000-000075050000}"/>
    <cellStyle name="Normal 2 2 2 4" xfId="1398" xr:uid="{00000000-0005-0000-0000-000076050000}"/>
    <cellStyle name="Normal 2 2 3" xfId="1399" xr:uid="{00000000-0005-0000-0000-000077050000}"/>
    <cellStyle name="Normal 2 2 3 2" xfId="1400" xr:uid="{00000000-0005-0000-0000-000078050000}"/>
    <cellStyle name="Normal 2 2 3 3" xfId="1401" xr:uid="{00000000-0005-0000-0000-000079050000}"/>
    <cellStyle name="Normal 2 2 4" xfId="1402" xr:uid="{00000000-0005-0000-0000-00007A050000}"/>
    <cellStyle name="Normal 2 2 4 2" xfId="1403" xr:uid="{00000000-0005-0000-0000-00007B050000}"/>
    <cellStyle name="Normal 2 2 4 2 2" xfId="1404" xr:uid="{00000000-0005-0000-0000-00007C050000}"/>
    <cellStyle name="Normal 2 2 4 3" xfId="1405" xr:uid="{00000000-0005-0000-0000-00007D050000}"/>
    <cellStyle name="Normal 2 2 5" xfId="1406" xr:uid="{00000000-0005-0000-0000-00007E050000}"/>
    <cellStyle name="Normal 2 2 5 2" xfId="1407" xr:uid="{00000000-0005-0000-0000-00007F050000}"/>
    <cellStyle name="Normal 2 3" xfId="1408" xr:uid="{00000000-0005-0000-0000-000080050000}"/>
    <cellStyle name="Normal 2 3 2" xfId="1409" xr:uid="{00000000-0005-0000-0000-000081050000}"/>
    <cellStyle name="Normal 2 3 2 2" xfId="1410" xr:uid="{00000000-0005-0000-0000-000082050000}"/>
    <cellStyle name="Normal 2 3 3" xfId="1411" xr:uid="{00000000-0005-0000-0000-000083050000}"/>
    <cellStyle name="Normal 2 3 4" xfId="1412" xr:uid="{00000000-0005-0000-0000-000084050000}"/>
    <cellStyle name="Normal 2 3 5" xfId="1413" xr:uid="{00000000-0005-0000-0000-000085050000}"/>
    <cellStyle name="Normal 2 3 6" xfId="1414" xr:uid="{00000000-0005-0000-0000-000086050000}"/>
    <cellStyle name="Normal 2 4" xfId="1415" xr:uid="{00000000-0005-0000-0000-000087050000}"/>
    <cellStyle name="Normal 2 4 2" xfId="1416" xr:uid="{00000000-0005-0000-0000-000088050000}"/>
    <cellStyle name="Normal 2 4 2 2" xfId="1417" xr:uid="{00000000-0005-0000-0000-000089050000}"/>
    <cellStyle name="Normal 2 4 3" xfId="1418" xr:uid="{00000000-0005-0000-0000-00008A050000}"/>
    <cellStyle name="Normal 2 4 4" xfId="1419" xr:uid="{00000000-0005-0000-0000-00008B050000}"/>
    <cellStyle name="Normal 2 4 5" xfId="1420" xr:uid="{00000000-0005-0000-0000-00008C050000}"/>
    <cellStyle name="Normal 2 4 6" xfId="1421" xr:uid="{00000000-0005-0000-0000-00008D050000}"/>
    <cellStyle name="Normal 2 5" xfId="1422" xr:uid="{00000000-0005-0000-0000-00008E050000}"/>
    <cellStyle name="Normal 2 5 2" xfId="1423" xr:uid="{00000000-0005-0000-0000-00008F050000}"/>
    <cellStyle name="Normal 2 6" xfId="1424" xr:uid="{00000000-0005-0000-0000-000090050000}"/>
    <cellStyle name="Normal 2 7" xfId="1425" xr:uid="{00000000-0005-0000-0000-000091050000}"/>
    <cellStyle name="Normal 2 8" xfId="1426" xr:uid="{00000000-0005-0000-0000-000092050000}"/>
    <cellStyle name="Normal 2 8 2" xfId="1427" xr:uid="{00000000-0005-0000-0000-000093050000}"/>
    <cellStyle name="Normal 2 9" xfId="1428" xr:uid="{00000000-0005-0000-0000-000094050000}"/>
    <cellStyle name="Normal 2 9 2" xfId="1429" xr:uid="{00000000-0005-0000-0000-000095050000}"/>
    <cellStyle name="Normal 20" xfId="1430" xr:uid="{00000000-0005-0000-0000-000096050000}"/>
    <cellStyle name="Normal 20 2" xfId="1431" xr:uid="{00000000-0005-0000-0000-000097050000}"/>
    <cellStyle name="Normal 20 3" xfId="1432" xr:uid="{00000000-0005-0000-0000-000098050000}"/>
    <cellStyle name="Normal 20 4" xfId="1433" xr:uid="{00000000-0005-0000-0000-000099050000}"/>
    <cellStyle name="Normal 21" xfId="1434" xr:uid="{00000000-0005-0000-0000-00009A050000}"/>
    <cellStyle name="Normal 21 2" xfId="1435" xr:uid="{00000000-0005-0000-0000-00009B050000}"/>
    <cellStyle name="Normal 21 3" xfId="1436" xr:uid="{00000000-0005-0000-0000-00009C050000}"/>
    <cellStyle name="Normal 21 4" xfId="1437" xr:uid="{00000000-0005-0000-0000-00009D050000}"/>
    <cellStyle name="Normal 22" xfId="1438" xr:uid="{00000000-0005-0000-0000-00009E050000}"/>
    <cellStyle name="Normal 22 2" xfId="1439" xr:uid="{00000000-0005-0000-0000-00009F050000}"/>
    <cellStyle name="Normal 22 3" xfId="1440" xr:uid="{00000000-0005-0000-0000-0000A0050000}"/>
    <cellStyle name="Normal 22 4" xfId="1441" xr:uid="{00000000-0005-0000-0000-0000A1050000}"/>
    <cellStyle name="Normal 23" xfId="1442" xr:uid="{00000000-0005-0000-0000-0000A2050000}"/>
    <cellStyle name="Normal 23 2" xfId="1443" xr:uid="{00000000-0005-0000-0000-0000A3050000}"/>
    <cellStyle name="Normal 23 3" xfId="1444" xr:uid="{00000000-0005-0000-0000-0000A4050000}"/>
    <cellStyle name="Normal 23 4" xfId="1445" xr:uid="{00000000-0005-0000-0000-0000A5050000}"/>
    <cellStyle name="Normal 24" xfId="1446" xr:uid="{00000000-0005-0000-0000-0000A6050000}"/>
    <cellStyle name="Normal 24 2" xfId="1447" xr:uid="{00000000-0005-0000-0000-0000A7050000}"/>
    <cellStyle name="Normal 24 3" xfId="1448" xr:uid="{00000000-0005-0000-0000-0000A8050000}"/>
    <cellStyle name="Normal 24 4" xfId="1449" xr:uid="{00000000-0005-0000-0000-0000A9050000}"/>
    <cellStyle name="Normal 25" xfId="1450" xr:uid="{00000000-0005-0000-0000-0000AA050000}"/>
    <cellStyle name="Normal 25 2" xfId="1451" xr:uid="{00000000-0005-0000-0000-0000AB050000}"/>
    <cellStyle name="Normal 25 3" xfId="1452" xr:uid="{00000000-0005-0000-0000-0000AC050000}"/>
    <cellStyle name="Normal 25 4" xfId="1453" xr:uid="{00000000-0005-0000-0000-0000AD050000}"/>
    <cellStyle name="Normal 26" xfId="1454" xr:uid="{00000000-0005-0000-0000-0000AE050000}"/>
    <cellStyle name="Normal 26 2" xfId="1455" xr:uid="{00000000-0005-0000-0000-0000AF050000}"/>
    <cellStyle name="Normal 26 3" xfId="1456" xr:uid="{00000000-0005-0000-0000-0000B0050000}"/>
    <cellStyle name="Normal 26 4" xfId="1457" xr:uid="{00000000-0005-0000-0000-0000B1050000}"/>
    <cellStyle name="Normal 27" xfId="1458" xr:uid="{00000000-0005-0000-0000-0000B2050000}"/>
    <cellStyle name="Normal 27 2" xfId="1459" xr:uid="{00000000-0005-0000-0000-0000B3050000}"/>
    <cellStyle name="Normal 28" xfId="1460" xr:uid="{00000000-0005-0000-0000-0000B4050000}"/>
    <cellStyle name="Normal 28 2" xfId="1461" xr:uid="{00000000-0005-0000-0000-0000B5050000}"/>
    <cellStyle name="Normal 29" xfId="1462" xr:uid="{00000000-0005-0000-0000-0000B6050000}"/>
    <cellStyle name="Normal 29 2" xfId="1463" xr:uid="{00000000-0005-0000-0000-0000B7050000}"/>
    <cellStyle name="Normal 3" xfId="1464" xr:uid="{00000000-0005-0000-0000-0000B8050000}"/>
    <cellStyle name="Normal 3 10" xfId="1465" xr:uid="{00000000-0005-0000-0000-0000B9050000}"/>
    <cellStyle name="Normal 3 10 2" xfId="1466" xr:uid="{00000000-0005-0000-0000-0000BA050000}"/>
    <cellStyle name="Normal 3 11" xfId="1467" xr:uid="{00000000-0005-0000-0000-0000BB050000}"/>
    <cellStyle name="Normal 3 12" xfId="1468" xr:uid="{00000000-0005-0000-0000-0000BC050000}"/>
    <cellStyle name="Normal 3 13" xfId="1925" xr:uid="{453694A4-D4AE-4A32-9027-7E8CE55BE717}"/>
    <cellStyle name="Normal 3 2" xfId="1469" xr:uid="{00000000-0005-0000-0000-0000BD050000}"/>
    <cellStyle name="Normal 3 2 2" xfId="1470" xr:uid="{00000000-0005-0000-0000-0000BE050000}"/>
    <cellStyle name="Normal 3 2 2 2" xfId="1471" xr:uid="{00000000-0005-0000-0000-0000BF050000}"/>
    <cellStyle name="Normal 3 2 3" xfId="1472" xr:uid="{00000000-0005-0000-0000-0000C0050000}"/>
    <cellStyle name="Normal 3 2 4" xfId="1473" xr:uid="{00000000-0005-0000-0000-0000C1050000}"/>
    <cellStyle name="Normal 3 2 5" xfId="1926" xr:uid="{07E5F0A5-773D-470D-9F70-7DAE6CA17C56}"/>
    <cellStyle name="Normal 3 3" xfId="1474" xr:uid="{00000000-0005-0000-0000-0000C2050000}"/>
    <cellStyle name="Normal 3 3 2" xfId="1475" xr:uid="{00000000-0005-0000-0000-0000C3050000}"/>
    <cellStyle name="Normal 3 3 3" xfId="1476" xr:uid="{00000000-0005-0000-0000-0000C4050000}"/>
    <cellStyle name="Normal 3 3 4" xfId="1477" xr:uid="{00000000-0005-0000-0000-0000C5050000}"/>
    <cellStyle name="Normal 3 3 5" xfId="1918" xr:uid="{1212050B-A4B3-4FF1-8AA7-AD82E66C077C}"/>
    <cellStyle name="Normal 3 4" xfId="1478" xr:uid="{00000000-0005-0000-0000-0000C6050000}"/>
    <cellStyle name="Normal 3 4 2" xfId="1479" xr:uid="{00000000-0005-0000-0000-0000C7050000}"/>
    <cellStyle name="Normal 3 5" xfId="1480" xr:uid="{00000000-0005-0000-0000-0000C8050000}"/>
    <cellStyle name="Normal 3 5 2" xfId="1481" xr:uid="{00000000-0005-0000-0000-0000C9050000}"/>
    <cellStyle name="Normal 3 6" xfId="1482" xr:uid="{00000000-0005-0000-0000-0000CA050000}"/>
    <cellStyle name="Normal 3 6 2" xfId="1483" xr:uid="{00000000-0005-0000-0000-0000CB050000}"/>
    <cellStyle name="Normal 3 7" xfId="1484" xr:uid="{00000000-0005-0000-0000-0000CC050000}"/>
    <cellStyle name="Normal 3 8" xfId="1485" xr:uid="{00000000-0005-0000-0000-0000CD050000}"/>
    <cellStyle name="Normal 3 9" xfId="1486" xr:uid="{00000000-0005-0000-0000-0000CE050000}"/>
    <cellStyle name="Normal 3 9 2" xfId="1487" xr:uid="{00000000-0005-0000-0000-0000CF050000}"/>
    <cellStyle name="Normal 3 9 2 2" xfId="1488" xr:uid="{00000000-0005-0000-0000-0000D0050000}"/>
    <cellStyle name="Normal 30" xfId="1489" xr:uid="{00000000-0005-0000-0000-0000D1050000}"/>
    <cellStyle name="Normal 31" xfId="1490" xr:uid="{00000000-0005-0000-0000-0000D2050000}"/>
    <cellStyle name="Normal 32" xfId="1491" xr:uid="{00000000-0005-0000-0000-0000D3050000}"/>
    <cellStyle name="Normal 32 2" xfId="1492" xr:uid="{00000000-0005-0000-0000-0000D4050000}"/>
    <cellStyle name="Normal 32 2 2" xfId="1493" xr:uid="{00000000-0005-0000-0000-0000D5050000}"/>
    <cellStyle name="Normal 32 3" xfId="1494" xr:uid="{00000000-0005-0000-0000-0000D6050000}"/>
    <cellStyle name="Normal 33" xfId="1495" xr:uid="{00000000-0005-0000-0000-0000D7050000}"/>
    <cellStyle name="Normal 34" xfId="1496" xr:uid="{00000000-0005-0000-0000-0000D8050000}"/>
    <cellStyle name="Normal 4" xfId="1497" xr:uid="{00000000-0005-0000-0000-0000D9050000}"/>
    <cellStyle name="Normal 4 10" xfId="1498" xr:uid="{00000000-0005-0000-0000-0000DA050000}"/>
    <cellStyle name="Normal 4 11" xfId="1499" xr:uid="{00000000-0005-0000-0000-0000DB050000}"/>
    <cellStyle name="Normal 4 12" xfId="1927" xr:uid="{356F997F-2BB3-4554-A5D8-550329EAECBA}"/>
    <cellStyle name="Normal 4 2" xfId="1500" xr:uid="{00000000-0005-0000-0000-0000DC050000}"/>
    <cellStyle name="Normal 4 2 2" xfId="1501" xr:uid="{00000000-0005-0000-0000-0000DD050000}"/>
    <cellStyle name="Normal 4 2 2 2" xfId="1502" xr:uid="{00000000-0005-0000-0000-0000DE050000}"/>
    <cellStyle name="Normal 4 2 3" xfId="1503" xr:uid="{00000000-0005-0000-0000-0000DF050000}"/>
    <cellStyle name="Normal 4 2 4" xfId="1504" xr:uid="{00000000-0005-0000-0000-0000E0050000}"/>
    <cellStyle name="Normal 4 2 5" xfId="1505" xr:uid="{00000000-0005-0000-0000-0000E1050000}"/>
    <cellStyle name="Normal 4 3" xfId="1506" xr:uid="{00000000-0005-0000-0000-0000E2050000}"/>
    <cellStyle name="Normal 4 3 2" xfId="1507" xr:uid="{00000000-0005-0000-0000-0000E3050000}"/>
    <cellStyle name="Normal 4 3 3" xfId="1508" xr:uid="{00000000-0005-0000-0000-0000E4050000}"/>
    <cellStyle name="Normal 4 3 4" xfId="1509" xr:uid="{00000000-0005-0000-0000-0000E5050000}"/>
    <cellStyle name="Normal 4 4" xfId="1510" xr:uid="{00000000-0005-0000-0000-0000E6050000}"/>
    <cellStyle name="Normal 4 4 2" xfId="1511" xr:uid="{00000000-0005-0000-0000-0000E7050000}"/>
    <cellStyle name="Normal 4 5" xfId="1512" xr:uid="{00000000-0005-0000-0000-0000E8050000}"/>
    <cellStyle name="Normal 4 5 2" xfId="1513" xr:uid="{00000000-0005-0000-0000-0000E9050000}"/>
    <cellStyle name="Normal 4 6" xfId="1514" xr:uid="{00000000-0005-0000-0000-0000EA050000}"/>
    <cellStyle name="Normal 4 6 2" xfId="1515" xr:uid="{00000000-0005-0000-0000-0000EB050000}"/>
    <cellStyle name="Normal 4 7" xfId="1516" xr:uid="{00000000-0005-0000-0000-0000EC050000}"/>
    <cellStyle name="Normal 4 7 2" xfId="1517" xr:uid="{00000000-0005-0000-0000-0000ED050000}"/>
    <cellStyle name="Normal 4 7 2 2" xfId="1518" xr:uid="{00000000-0005-0000-0000-0000EE050000}"/>
    <cellStyle name="Normal 4 7 2 2 2" xfId="1519" xr:uid="{00000000-0005-0000-0000-0000EF050000}"/>
    <cellStyle name="Normal 4 7 2 3" xfId="1520" xr:uid="{00000000-0005-0000-0000-0000F0050000}"/>
    <cellStyle name="Normal 4 8" xfId="1521" xr:uid="{00000000-0005-0000-0000-0000F1050000}"/>
    <cellStyle name="Normal 4 9" xfId="1522" xr:uid="{00000000-0005-0000-0000-0000F2050000}"/>
    <cellStyle name="Normal 5" xfId="1523" xr:uid="{00000000-0005-0000-0000-0000F3050000}"/>
    <cellStyle name="Normal 5 10" xfId="1524" xr:uid="{00000000-0005-0000-0000-0000F4050000}"/>
    <cellStyle name="Normal 5 2" xfId="1525" xr:uid="{00000000-0005-0000-0000-0000F5050000}"/>
    <cellStyle name="Normal 5 2 2" xfId="1526" xr:uid="{00000000-0005-0000-0000-0000F6050000}"/>
    <cellStyle name="Normal 5 2 2 2" xfId="1527" xr:uid="{00000000-0005-0000-0000-0000F7050000}"/>
    <cellStyle name="Normal 5 2 2 3" xfId="1528" xr:uid="{00000000-0005-0000-0000-0000F8050000}"/>
    <cellStyle name="Normal 5 2 3" xfId="1529" xr:uid="{00000000-0005-0000-0000-0000F9050000}"/>
    <cellStyle name="Normal 5 2 4" xfId="1530" xr:uid="{00000000-0005-0000-0000-0000FA050000}"/>
    <cellStyle name="Normal 5 3" xfId="1531" xr:uid="{00000000-0005-0000-0000-0000FB050000}"/>
    <cellStyle name="Normal 5 3 2" xfId="1532" xr:uid="{00000000-0005-0000-0000-0000FC050000}"/>
    <cellStyle name="Normal 5 3 2 2" xfId="1533" xr:uid="{00000000-0005-0000-0000-0000FD050000}"/>
    <cellStyle name="Normal 5 3 3" xfId="1534" xr:uid="{00000000-0005-0000-0000-0000FE050000}"/>
    <cellStyle name="Normal 5 4" xfId="1535" xr:uid="{00000000-0005-0000-0000-0000FF050000}"/>
    <cellStyle name="Normal 5 4 2" xfId="1536" xr:uid="{00000000-0005-0000-0000-000000060000}"/>
    <cellStyle name="Normal 5 5" xfId="1537" xr:uid="{00000000-0005-0000-0000-000001060000}"/>
    <cellStyle name="Normal 5 5 2" xfId="1538" xr:uid="{00000000-0005-0000-0000-000002060000}"/>
    <cellStyle name="Normal 5 6" xfId="1539" xr:uid="{00000000-0005-0000-0000-000003060000}"/>
    <cellStyle name="Normal 5 6 2" xfId="1540" xr:uid="{00000000-0005-0000-0000-000004060000}"/>
    <cellStyle name="Normal 5 7" xfId="1541" xr:uid="{00000000-0005-0000-0000-000005060000}"/>
    <cellStyle name="Normal 5 8" xfId="1542" xr:uid="{00000000-0005-0000-0000-000006060000}"/>
    <cellStyle name="Normal 5 9" xfId="1543" xr:uid="{00000000-0005-0000-0000-000007060000}"/>
    <cellStyle name="Normal 6" xfId="1544" xr:uid="{00000000-0005-0000-0000-000008060000}"/>
    <cellStyle name="Normal 6 10" xfId="1545" xr:uid="{00000000-0005-0000-0000-000009060000}"/>
    <cellStyle name="Normal 6 11" xfId="1546" xr:uid="{00000000-0005-0000-0000-00000A060000}"/>
    <cellStyle name="Normal 6 12" xfId="1547" xr:uid="{00000000-0005-0000-0000-00000B060000}"/>
    <cellStyle name="Normal 6 2" xfId="1548" xr:uid="{00000000-0005-0000-0000-00000C060000}"/>
    <cellStyle name="Normal 6 2 10" xfId="1549" xr:uid="{00000000-0005-0000-0000-00000D060000}"/>
    <cellStyle name="Normal 6 2 11" xfId="1550" xr:uid="{00000000-0005-0000-0000-00000E060000}"/>
    <cellStyle name="Normal 6 2 2" xfId="1551" xr:uid="{00000000-0005-0000-0000-00000F060000}"/>
    <cellStyle name="Normal 6 2 2 2" xfId="1552" xr:uid="{00000000-0005-0000-0000-000010060000}"/>
    <cellStyle name="Normal 6 2 3" xfId="1553" xr:uid="{00000000-0005-0000-0000-000011060000}"/>
    <cellStyle name="Normal 6 2 3 2" xfId="1554" xr:uid="{00000000-0005-0000-0000-000012060000}"/>
    <cellStyle name="Normal 6 2 4" xfId="1555" xr:uid="{00000000-0005-0000-0000-000013060000}"/>
    <cellStyle name="Normal 6 2 4 2" xfId="1556" xr:uid="{00000000-0005-0000-0000-000014060000}"/>
    <cellStyle name="Normal 6 2 4 2 2" xfId="1557" xr:uid="{00000000-0005-0000-0000-000015060000}"/>
    <cellStyle name="Normal 6 2 4 2 2 2" xfId="1558" xr:uid="{00000000-0005-0000-0000-000016060000}"/>
    <cellStyle name="Normal 6 2 4 2 3" xfId="1559" xr:uid="{00000000-0005-0000-0000-000017060000}"/>
    <cellStyle name="Normal 6 2 4 3" xfId="1560" xr:uid="{00000000-0005-0000-0000-000018060000}"/>
    <cellStyle name="Normal 6 2 4 3 2" xfId="1561" xr:uid="{00000000-0005-0000-0000-000019060000}"/>
    <cellStyle name="Normal 6 2 4 4" xfId="1562" xr:uid="{00000000-0005-0000-0000-00001A060000}"/>
    <cellStyle name="Normal 6 2 4 4 2" xfId="1563" xr:uid="{00000000-0005-0000-0000-00001B060000}"/>
    <cellStyle name="Normal 6 2 4 5" xfId="1564" xr:uid="{00000000-0005-0000-0000-00001C060000}"/>
    <cellStyle name="Normal 6 2 5" xfId="1565" xr:uid="{00000000-0005-0000-0000-00001D060000}"/>
    <cellStyle name="Normal 6 2 5 2" xfId="1566" xr:uid="{00000000-0005-0000-0000-00001E060000}"/>
    <cellStyle name="Normal 6 2 5 2 2" xfId="1567" xr:uid="{00000000-0005-0000-0000-00001F060000}"/>
    <cellStyle name="Normal 6 2 5 2 2 2" xfId="1568" xr:uid="{00000000-0005-0000-0000-000020060000}"/>
    <cellStyle name="Normal 6 2 5 2 3" xfId="1569" xr:uid="{00000000-0005-0000-0000-000021060000}"/>
    <cellStyle name="Normal 6 2 5 3" xfId="1570" xr:uid="{00000000-0005-0000-0000-000022060000}"/>
    <cellStyle name="Normal 6 2 5 3 2" xfId="1571" xr:uid="{00000000-0005-0000-0000-000023060000}"/>
    <cellStyle name="Normal 6 2 5 4" xfId="1572" xr:uid="{00000000-0005-0000-0000-000024060000}"/>
    <cellStyle name="Normal 6 2 5 4 2" xfId="1573" xr:uid="{00000000-0005-0000-0000-000025060000}"/>
    <cellStyle name="Normal 6 2 5 5" xfId="1574" xr:uid="{00000000-0005-0000-0000-000026060000}"/>
    <cellStyle name="Normal 6 2 6" xfId="1575" xr:uid="{00000000-0005-0000-0000-000027060000}"/>
    <cellStyle name="Normal 6 2 6 2" xfId="1576" xr:uid="{00000000-0005-0000-0000-000028060000}"/>
    <cellStyle name="Normal 6 2 6 2 2" xfId="1577" xr:uid="{00000000-0005-0000-0000-000029060000}"/>
    <cellStyle name="Normal 6 2 6 3" xfId="1578" xr:uid="{00000000-0005-0000-0000-00002A060000}"/>
    <cellStyle name="Normal 6 2 6 3 2" xfId="1579" xr:uid="{00000000-0005-0000-0000-00002B060000}"/>
    <cellStyle name="Normal 6 2 6 4" xfId="1580" xr:uid="{00000000-0005-0000-0000-00002C060000}"/>
    <cellStyle name="Normal 6 2 7" xfId="1581" xr:uid="{00000000-0005-0000-0000-00002D060000}"/>
    <cellStyle name="Normal 6 2 7 2" xfId="1582" xr:uid="{00000000-0005-0000-0000-00002E060000}"/>
    <cellStyle name="Normal 6 2 8" xfId="1583" xr:uid="{00000000-0005-0000-0000-00002F060000}"/>
    <cellStyle name="Normal 6 2 9" xfId="1584" xr:uid="{00000000-0005-0000-0000-000030060000}"/>
    <cellStyle name="Normal 6 3" xfId="1585" xr:uid="{00000000-0005-0000-0000-000031060000}"/>
    <cellStyle name="Normal 6 3 2" xfId="1586" xr:uid="{00000000-0005-0000-0000-000032060000}"/>
    <cellStyle name="Normal 6 3 2 2" xfId="1587" xr:uid="{00000000-0005-0000-0000-000033060000}"/>
    <cellStyle name="Normal 6 3 2 2 2" xfId="1588" xr:uid="{00000000-0005-0000-0000-000034060000}"/>
    <cellStyle name="Normal 6 3 2 2 2 2" xfId="1589" xr:uid="{00000000-0005-0000-0000-000035060000}"/>
    <cellStyle name="Normal 6 3 2 2 3" xfId="1590" xr:uid="{00000000-0005-0000-0000-000036060000}"/>
    <cellStyle name="Normal 6 3 2 3" xfId="1591" xr:uid="{00000000-0005-0000-0000-000037060000}"/>
    <cellStyle name="Normal 6 3 2 3 2" xfId="1592" xr:uid="{00000000-0005-0000-0000-000038060000}"/>
    <cellStyle name="Normal 6 3 2 4" xfId="1593" xr:uid="{00000000-0005-0000-0000-000039060000}"/>
    <cellStyle name="Normal 6 3 2 4 2" xfId="1594" xr:uid="{00000000-0005-0000-0000-00003A060000}"/>
    <cellStyle name="Normal 6 3 2 5" xfId="1595" xr:uid="{00000000-0005-0000-0000-00003B060000}"/>
    <cellStyle name="Normal 6 3 3" xfId="1596" xr:uid="{00000000-0005-0000-0000-00003C060000}"/>
    <cellStyle name="Normal 6 3 3 2" xfId="1597" xr:uid="{00000000-0005-0000-0000-00003D060000}"/>
    <cellStyle name="Normal 6 3 3 2 2" xfId="1598" xr:uid="{00000000-0005-0000-0000-00003E060000}"/>
    <cellStyle name="Normal 6 3 3 3" xfId="1599" xr:uid="{00000000-0005-0000-0000-00003F060000}"/>
    <cellStyle name="Normal 6 3 3 3 2" xfId="1600" xr:uid="{00000000-0005-0000-0000-000040060000}"/>
    <cellStyle name="Normal 6 3 3 4" xfId="1601" xr:uid="{00000000-0005-0000-0000-000041060000}"/>
    <cellStyle name="Normal 6 3 4" xfId="1602" xr:uid="{00000000-0005-0000-0000-000042060000}"/>
    <cellStyle name="Normal 6 4" xfId="1603" xr:uid="{00000000-0005-0000-0000-000043060000}"/>
    <cellStyle name="Normal 6 4 2" xfId="1604" xr:uid="{00000000-0005-0000-0000-000044060000}"/>
    <cellStyle name="Normal 6 4 3" xfId="1605" xr:uid="{00000000-0005-0000-0000-000045060000}"/>
    <cellStyle name="Normal 6 5" xfId="1606" xr:uid="{00000000-0005-0000-0000-000046060000}"/>
    <cellStyle name="Normal 6 5 2" xfId="1607" xr:uid="{00000000-0005-0000-0000-000047060000}"/>
    <cellStyle name="Normal 6 6" xfId="1608" xr:uid="{00000000-0005-0000-0000-000048060000}"/>
    <cellStyle name="Normal 6 6 2" xfId="1609" xr:uid="{00000000-0005-0000-0000-000049060000}"/>
    <cellStyle name="Normal 6 6 2 2" xfId="1610" xr:uid="{00000000-0005-0000-0000-00004A060000}"/>
    <cellStyle name="Normal 6 6 2 2 2" xfId="1611" xr:uid="{00000000-0005-0000-0000-00004B060000}"/>
    <cellStyle name="Normal 6 6 2 3" xfId="1612" xr:uid="{00000000-0005-0000-0000-00004C060000}"/>
    <cellStyle name="Normal 6 6 3" xfId="1613" xr:uid="{00000000-0005-0000-0000-00004D060000}"/>
    <cellStyle name="Normal 6 6 3 2" xfId="1614" xr:uid="{00000000-0005-0000-0000-00004E060000}"/>
    <cellStyle name="Normal 6 6 3 2 2" xfId="1615" xr:uid="{00000000-0005-0000-0000-00004F060000}"/>
    <cellStyle name="Normal 6 6 3 3" xfId="1616" xr:uid="{00000000-0005-0000-0000-000050060000}"/>
    <cellStyle name="Normal 6 6 4" xfId="1617" xr:uid="{00000000-0005-0000-0000-000051060000}"/>
    <cellStyle name="Normal 6 6 4 2" xfId="1618" xr:uid="{00000000-0005-0000-0000-000052060000}"/>
    <cellStyle name="Normal 6 6 5" xfId="1619" xr:uid="{00000000-0005-0000-0000-000053060000}"/>
    <cellStyle name="Normal 6 6 5 2" xfId="1620" xr:uid="{00000000-0005-0000-0000-000054060000}"/>
    <cellStyle name="Normal 6 6 6" xfId="1621" xr:uid="{00000000-0005-0000-0000-000055060000}"/>
    <cellStyle name="Normal 6 7" xfId="1622" xr:uid="{00000000-0005-0000-0000-000056060000}"/>
    <cellStyle name="Normal 6 7 2" xfId="1623" xr:uid="{00000000-0005-0000-0000-000057060000}"/>
    <cellStyle name="Normal 6 7 2 2" xfId="1624" xr:uid="{00000000-0005-0000-0000-000058060000}"/>
    <cellStyle name="Normal 6 7 2 2 2" xfId="1625" xr:uid="{00000000-0005-0000-0000-000059060000}"/>
    <cellStyle name="Normal 6 7 2 3" xfId="1626" xr:uid="{00000000-0005-0000-0000-00005A060000}"/>
    <cellStyle name="Normal 6 7 3" xfId="1627" xr:uid="{00000000-0005-0000-0000-00005B060000}"/>
    <cellStyle name="Normal 6 7 3 2" xfId="1628" xr:uid="{00000000-0005-0000-0000-00005C060000}"/>
    <cellStyle name="Normal 6 7 4" xfId="1629" xr:uid="{00000000-0005-0000-0000-00005D060000}"/>
    <cellStyle name="Normal 6 7 4 2" xfId="1630" xr:uid="{00000000-0005-0000-0000-00005E060000}"/>
    <cellStyle name="Normal 6 7 5" xfId="1631" xr:uid="{00000000-0005-0000-0000-00005F060000}"/>
    <cellStyle name="Normal 6 8" xfId="1632" xr:uid="{00000000-0005-0000-0000-000060060000}"/>
    <cellStyle name="Normal 6 8 2" xfId="1633" xr:uid="{00000000-0005-0000-0000-000061060000}"/>
    <cellStyle name="Normal 6 8 2 2" xfId="1634" xr:uid="{00000000-0005-0000-0000-000062060000}"/>
    <cellStyle name="Normal 6 8 3" xfId="1635" xr:uid="{00000000-0005-0000-0000-000063060000}"/>
    <cellStyle name="Normal 6 8 3 2" xfId="1636" xr:uid="{00000000-0005-0000-0000-000064060000}"/>
    <cellStyle name="Normal 6 8 4" xfId="1637" xr:uid="{00000000-0005-0000-0000-000065060000}"/>
    <cellStyle name="Normal 6 9" xfId="1638" xr:uid="{00000000-0005-0000-0000-000066060000}"/>
    <cellStyle name="Normal 7" xfId="1639" xr:uid="{00000000-0005-0000-0000-000067060000}"/>
    <cellStyle name="Normal 7 2" xfId="1640" xr:uid="{00000000-0005-0000-0000-000068060000}"/>
    <cellStyle name="Normal 7 2 2" xfId="1641" xr:uid="{00000000-0005-0000-0000-000069060000}"/>
    <cellStyle name="Normal 7 2 2 2" xfId="1642" xr:uid="{00000000-0005-0000-0000-00006A060000}"/>
    <cellStyle name="Normal 7 2 3" xfId="1643" xr:uid="{00000000-0005-0000-0000-00006B060000}"/>
    <cellStyle name="Normal 7 3" xfId="1644" xr:uid="{00000000-0005-0000-0000-00006C060000}"/>
    <cellStyle name="Normal 7 3 2" xfId="1645" xr:uid="{00000000-0005-0000-0000-00006D060000}"/>
    <cellStyle name="Normal 7 3 3" xfId="1646" xr:uid="{00000000-0005-0000-0000-00006E060000}"/>
    <cellStyle name="Normal 7 4" xfId="1647" xr:uid="{00000000-0005-0000-0000-00006F060000}"/>
    <cellStyle name="Normal 7 5" xfId="1648" xr:uid="{00000000-0005-0000-0000-000070060000}"/>
    <cellStyle name="Normal 7 6" xfId="1649" xr:uid="{00000000-0005-0000-0000-000071060000}"/>
    <cellStyle name="Normal 7 6 2" xfId="1650" xr:uid="{00000000-0005-0000-0000-000072060000}"/>
    <cellStyle name="Normal 7 7" xfId="1651" xr:uid="{00000000-0005-0000-0000-000073060000}"/>
    <cellStyle name="Normal 7 8" xfId="1652" xr:uid="{00000000-0005-0000-0000-000074060000}"/>
    <cellStyle name="Normal 8" xfId="1653" xr:uid="{00000000-0005-0000-0000-000075060000}"/>
    <cellStyle name="Normal 8 2" xfId="1654" xr:uid="{00000000-0005-0000-0000-000076060000}"/>
    <cellStyle name="Normal 8 2 2" xfId="1655" xr:uid="{00000000-0005-0000-0000-000077060000}"/>
    <cellStyle name="Normal 8 2 3" xfId="1656" xr:uid="{00000000-0005-0000-0000-000078060000}"/>
    <cellStyle name="Normal 8 3" xfId="1657" xr:uid="{00000000-0005-0000-0000-000079060000}"/>
    <cellStyle name="Normal 8 3 2" xfId="1658" xr:uid="{00000000-0005-0000-0000-00007A060000}"/>
    <cellStyle name="Normal 8 3 3" xfId="1659" xr:uid="{00000000-0005-0000-0000-00007B060000}"/>
    <cellStyle name="Normal 8 4" xfId="1660" xr:uid="{00000000-0005-0000-0000-00007C060000}"/>
    <cellStyle name="Normal 8 5" xfId="1661" xr:uid="{00000000-0005-0000-0000-00007D060000}"/>
    <cellStyle name="Normal 9" xfId="1662" xr:uid="{00000000-0005-0000-0000-00007E060000}"/>
    <cellStyle name="Normal 9 2" xfId="1663" xr:uid="{00000000-0005-0000-0000-00007F060000}"/>
    <cellStyle name="Normal 9 2 2" xfId="1664" xr:uid="{00000000-0005-0000-0000-000080060000}"/>
    <cellStyle name="Normal 9 2 3" xfId="1665" xr:uid="{00000000-0005-0000-0000-000081060000}"/>
    <cellStyle name="Normal 9 3" xfId="1666" xr:uid="{00000000-0005-0000-0000-000082060000}"/>
    <cellStyle name="Normal 9 4" xfId="1667" xr:uid="{00000000-0005-0000-0000-000083060000}"/>
    <cellStyle name="Normal 9 5" xfId="1668" xr:uid="{00000000-0005-0000-0000-000084060000}"/>
    <cellStyle name="Normal_Everett Clinic 1998 Audit" xfId="1669" xr:uid="{00000000-0005-0000-0000-000085060000}"/>
    <cellStyle name="NormalCover" xfId="1670" xr:uid="{00000000-0005-0000-0000-000086060000}"/>
    <cellStyle name="Note 2" xfId="1671" xr:uid="{00000000-0005-0000-0000-000087060000}"/>
    <cellStyle name="Note 2 2" xfId="1672" xr:uid="{00000000-0005-0000-0000-000088060000}"/>
    <cellStyle name="Note 2 2 2" xfId="1673" xr:uid="{00000000-0005-0000-0000-000089060000}"/>
    <cellStyle name="Note 2 2 3" xfId="1674" xr:uid="{00000000-0005-0000-0000-00008A060000}"/>
    <cellStyle name="Note 2 2 4" xfId="1675" xr:uid="{00000000-0005-0000-0000-00008B060000}"/>
    <cellStyle name="Note 2 3" xfId="1676" xr:uid="{00000000-0005-0000-0000-00008C060000}"/>
    <cellStyle name="Note 2 4" xfId="1677" xr:uid="{00000000-0005-0000-0000-00008D060000}"/>
    <cellStyle name="Note 2 5" xfId="1678" xr:uid="{00000000-0005-0000-0000-00008E060000}"/>
    <cellStyle name="Note 2 6" xfId="1679" xr:uid="{00000000-0005-0000-0000-00008F060000}"/>
    <cellStyle name="Note 2 7" xfId="1680" xr:uid="{00000000-0005-0000-0000-000090060000}"/>
    <cellStyle name="NoteFundName" xfId="1681" xr:uid="{00000000-0005-0000-0000-000091060000}"/>
    <cellStyle name="NoteHeader" xfId="1682" xr:uid="{00000000-0005-0000-0000-000092060000}"/>
    <cellStyle name="NoteSubHeader" xfId="1683" xr:uid="{00000000-0005-0000-0000-000093060000}"/>
    <cellStyle name="Output" xfId="1684" builtinId="21" customBuiltin="1"/>
    <cellStyle name="Output 2" xfId="1685" xr:uid="{00000000-0005-0000-0000-000095060000}"/>
    <cellStyle name="Output 2 2" xfId="1686" xr:uid="{00000000-0005-0000-0000-000096060000}"/>
    <cellStyle name="Output 2 3" xfId="1687" xr:uid="{00000000-0005-0000-0000-000097060000}"/>
    <cellStyle name="Output 2 4" xfId="1688" xr:uid="{00000000-0005-0000-0000-000098060000}"/>
    <cellStyle name="Percent" xfId="1689" builtinId="5"/>
    <cellStyle name="Percent #" xfId="1690" xr:uid="{00000000-0005-0000-0000-00009A060000}"/>
    <cellStyle name="Percent %" xfId="1691" xr:uid="{00000000-0005-0000-0000-00009B060000}"/>
    <cellStyle name="Percent % 2" xfId="1692" xr:uid="{00000000-0005-0000-0000-00009C060000}"/>
    <cellStyle name="Percent % 3" xfId="1693" xr:uid="{00000000-0005-0000-0000-00009D060000}"/>
    <cellStyle name="Percent % Long Underline" xfId="1694" xr:uid="{00000000-0005-0000-0000-00009E060000}"/>
    <cellStyle name="Percent (%)" xfId="1695" xr:uid="{00000000-0005-0000-0000-00009F060000}"/>
    <cellStyle name="Percent 0.0%" xfId="1696" xr:uid="{00000000-0005-0000-0000-0000A0060000}"/>
    <cellStyle name="Percent 10" xfId="1697" xr:uid="{00000000-0005-0000-0000-0000A1060000}"/>
    <cellStyle name="Percent 10 2" xfId="1698" xr:uid="{00000000-0005-0000-0000-0000A2060000}"/>
    <cellStyle name="Percent 10 3" xfId="1699" xr:uid="{00000000-0005-0000-0000-0000A3060000}"/>
    <cellStyle name="Percent 10 3 2" xfId="1700" xr:uid="{00000000-0005-0000-0000-0000A4060000}"/>
    <cellStyle name="Percent 11" xfId="1701" xr:uid="{00000000-0005-0000-0000-0000A5060000}"/>
    <cellStyle name="Percent 11 2" xfId="1702" xr:uid="{00000000-0005-0000-0000-0000A6060000}"/>
    <cellStyle name="Percent 11 3" xfId="1703" xr:uid="{00000000-0005-0000-0000-0000A7060000}"/>
    <cellStyle name="Percent 11 3 2" xfId="1704" xr:uid="{00000000-0005-0000-0000-0000A8060000}"/>
    <cellStyle name="Percent 12" xfId="1705" xr:uid="{00000000-0005-0000-0000-0000A9060000}"/>
    <cellStyle name="Percent 12 2" xfId="1706" xr:uid="{00000000-0005-0000-0000-0000AA060000}"/>
    <cellStyle name="Percent 12 3" xfId="1707" xr:uid="{00000000-0005-0000-0000-0000AB060000}"/>
    <cellStyle name="Percent 12 3 2" xfId="1708" xr:uid="{00000000-0005-0000-0000-0000AC060000}"/>
    <cellStyle name="Percent 13" xfId="1709" xr:uid="{00000000-0005-0000-0000-0000AD060000}"/>
    <cellStyle name="Percent 13 2" xfId="1710" xr:uid="{00000000-0005-0000-0000-0000AE060000}"/>
    <cellStyle name="Percent 13 3" xfId="1711" xr:uid="{00000000-0005-0000-0000-0000AF060000}"/>
    <cellStyle name="Percent 13 3 2" xfId="1712" xr:uid="{00000000-0005-0000-0000-0000B0060000}"/>
    <cellStyle name="Percent 14" xfId="1713" xr:uid="{00000000-0005-0000-0000-0000B1060000}"/>
    <cellStyle name="Percent 14 2" xfId="1714" xr:uid="{00000000-0005-0000-0000-0000B2060000}"/>
    <cellStyle name="Percent 14 3" xfId="1715" xr:uid="{00000000-0005-0000-0000-0000B3060000}"/>
    <cellStyle name="Percent 14 3 2" xfId="1716" xr:uid="{00000000-0005-0000-0000-0000B4060000}"/>
    <cellStyle name="Percent 15" xfId="1717" xr:uid="{00000000-0005-0000-0000-0000B5060000}"/>
    <cellStyle name="Percent 15 2" xfId="1718" xr:uid="{00000000-0005-0000-0000-0000B6060000}"/>
    <cellStyle name="Percent 15 3" xfId="1719" xr:uid="{00000000-0005-0000-0000-0000B7060000}"/>
    <cellStyle name="Percent 15 3 2" xfId="1720" xr:uid="{00000000-0005-0000-0000-0000B8060000}"/>
    <cellStyle name="Percent 16" xfId="1721" xr:uid="{00000000-0005-0000-0000-0000B9060000}"/>
    <cellStyle name="Percent 16 2" xfId="1722" xr:uid="{00000000-0005-0000-0000-0000BA060000}"/>
    <cellStyle name="Percent 16 2 2" xfId="1723" xr:uid="{00000000-0005-0000-0000-0000BB060000}"/>
    <cellStyle name="Percent 16 2 2 2" xfId="1724" xr:uid="{00000000-0005-0000-0000-0000BC060000}"/>
    <cellStyle name="Percent 16 3" xfId="1725" xr:uid="{00000000-0005-0000-0000-0000BD060000}"/>
    <cellStyle name="Percent 16 3 2" xfId="1726" xr:uid="{00000000-0005-0000-0000-0000BE060000}"/>
    <cellStyle name="Percent 17" xfId="1727" xr:uid="{00000000-0005-0000-0000-0000BF060000}"/>
    <cellStyle name="Percent 17 2" xfId="1728" xr:uid="{00000000-0005-0000-0000-0000C0060000}"/>
    <cellStyle name="Percent 17 2 2" xfId="1729" xr:uid="{00000000-0005-0000-0000-0000C1060000}"/>
    <cellStyle name="Percent 17 2 2 2" xfId="1730" xr:uid="{00000000-0005-0000-0000-0000C2060000}"/>
    <cellStyle name="Percent 17 3" xfId="1731" xr:uid="{00000000-0005-0000-0000-0000C3060000}"/>
    <cellStyle name="Percent 17 3 2" xfId="1732" xr:uid="{00000000-0005-0000-0000-0000C4060000}"/>
    <cellStyle name="Percent 18" xfId="1733" xr:uid="{00000000-0005-0000-0000-0000C5060000}"/>
    <cellStyle name="Percent 18 2" xfId="1734" xr:uid="{00000000-0005-0000-0000-0000C6060000}"/>
    <cellStyle name="Percent 18 2 2" xfId="1735" xr:uid="{00000000-0005-0000-0000-0000C7060000}"/>
    <cellStyle name="Percent 18 2 2 2" xfId="1736" xr:uid="{00000000-0005-0000-0000-0000C8060000}"/>
    <cellStyle name="Percent 18 3" xfId="1737" xr:uid="{00000000-0005-0000-0000-0000C9060000}"/>
    <cellStyle name="Percent 18 3 2" xfId="1738" xr:uid="{00000000-0005-0000-0000-0000CA060000}"/>
    <cellStyle name="Percent 19" xfId="1739" xr:uid="{00000000-0005-0000-0000-0000CB060000}"/>
    <cellStyle name="Percent 19 2" xfId="1740" xr:uid="{00000000-0005-0000-0000-0000CC060000}"/>
    <cellStyle name="Percent 19 2 2" xfId="1741" xr:uid="{00000000-0005-0000-0000-0000CD060000}"/>
    <cellStyle name="Percent 19 3" xfId="1742" xr:uid="{00000000-0005-0000-0000-0000CE060000}"/>
    <cellStyle name="Percent 19 3 2" xfId="1743" xr:uid="{00000000-0005-0000-0000-0000CF060000}"/>
    <cellStyle name="Percent 2" xfId="1744" xr:uid="{00000000-0005-0000-0000-0000D0060000}"/>
    <cellStyle name="Percent 2 10" xfId="1745" xr:uid="{00000000-0005-0000-0000-0000D1060000}"/>
    <cellStyle name="Percent 2 10 2" xfId="1746" xr:uid="{00000000-0005-0000-0000-0000D2060000}"/>
    <cellStyle name="Percent 2 11" xfId="1747" xr:uid="{00000000-0005-0000-0000-0000D3060000}"/>
    <cellStyle name="Percent 2 12" xfId="1928" xr:uid="{BC212DE4-23A1-48E6-8CDC-CA676BA59EE6}"/>
    <cellStyle name="Percent 2 2" xfId="1748" xr:uid="{00000000-0005-0000-0000-0000D4060000}"/>
    <cellStyle name="Percent 2 2 2" xfId="1749" xr:uid="{00000000-0005-0000-0000-0000D5060000}"/>
    <cellStyle name="Percent 2 2 2 2" xfId="1750" xr:uid="{00000000-0005-0000-0000-0000D6060000}"/>
    <cellStyle name="Percent 2 2 3" xfId="1751" xr:uid="{00000000-0005-0000-0000-0000D7060000}"/>
    <cellStyle name="Percent 2 2 3 2" xfId="1752" xr:uid="{00000000-0005-0000-0000-0000D8060000}"/>
    <cellStyle name="Percent 2 2 4" xfId="1753" xr:uid="{00000000-0005-0000-0000-0000D9060000}"/>
    <cellStyle name="Percent 2 2 4 2" xfId="1754" xr:uid="{00000000-0005-0000-0000-0000DA060000}"/>
    <cellStyle name="Percent 2 2 5" xfId="1929" xr:uid="{7076E454-B1B8-43BB-B5DE-1E727FF1ECC4}"/>
    <cellStyle name="Percent 2 3" xfId="1755" xr:uid="{00000000-0005-0000-0000-0000DB060000}"/>
    <cellStyle name="Percent 2 3 2" xfId="1756" xr:uid="{00000000-0005-0000-0000-0000DC060000}"/>
    <cellStyle name="Percent 2 3 3" xfId="1757" xr:uid="{00000000-0005-0000-0000-0000DD060000}"/>
    <cellStyle name="Percent 2 3 4" xfId="1930" xr:uid="{A10D63A7-4BA6-402E-832C-ED83DA3867D8}"/>
    <cellStyle name="Percent 2 4" xfId="1758" xr:uid="{00000000-0005-0000-0000-0000DE060000}"/>
    <cellStyle name="Percent 2 4 2" xfId="1759" xr:uid="{00000000-0005-0000-0000-0000DF060000}"/>
    <cellStyle name="Percent 2 5" xfId="1760" xr:uid="{00000000-0005-0000-0000-0000E0060000}"/>
    <cellStyle name="Percent 2 5 2" xfId="1761" xr:uid="{00000000-0005-0000-0000-0000E1060000}"/>
    <cellStyle name="Percent 2 6" xfId="1762" xr:uid="{00000000-0005-0000-0000-0000E2060000}"/>
    <cellStyle name="Percent 2 6 2" xfId="1763" xr:uid="{00000000-0005-0000-0000-0000E3060000}"/>
    <cellStyle name="Percent 2 7" xfId="1764" xr:uid="{00000000-0005-0000-0000-0000E4060000}"/>
    <cellStyle name="Percent 2 8" xfId="1765" xr:uid="{00000000-0005-0000-0000-0000E5060000}"/>
    <cellStyle name="Percent 2 8 2" xfId="1766" xr:uid="{00000000-0005-0000-0000-0000E6060000}"/>
    <cellStyle name="Percent 2 9" xfId="1767" xr:uid="{00000000-0005-0000-0000-0000E7060000}"/>
    <cellStyle name="Percent 2 9 2" xfId="1768" xr:uid="{00000000-0005-0000-0000-0000E8060000}"/>
    <cellStyle name="Percent 20" xfId="1769" xr:uid="{00000000-0005-0000-0000-0000E9060000}"/>
    <cellStyle name="Percent 20 2" xfId="1770" xr:uid="{00000000-0005-0000-0000-0000EA060000}"/>
    <cellStyle name="Percent 20 2 2" xfId="1771" xr:uid="{00000000-0005-0000-0000-0000EB060000}"/>
    <cellStyle name="Percent 20 3" xfId="1772" xr:uid="{00000000-0005-0000-0000-0000EC060000}"/>
    <cellStyle name="Percent 20 3 2" xfId="1773" xr:uid="{00000000-0005-0000-0000-0000ED060000}"/>
    <cellStyle name="Percent 21" xfId="1774" xr:uid="{00000000-0005-0000-0000-0000EE060000}"/>
    <cellStyle name="Percent 21 2" xfId="1775" xr:uid="{00000000-0005-0000-0000-0000EF060000}"/>
    <cellStyle name="Percent 21 2 2" xfId="1776" xr:uid="{00000000-0005-0000-0000-0000F0060000}"/>
    <cellStyle name="Percent 22" xfId="1777" xr:uid="{00000000-0005-0000-0000-0000F1060000}"/>
    <cellStyle name="Percent 22 2" xfId="1778" xr:uid="{00000000-0005-0000-0000-0000F2060000}"/>
    <cellStyle name="Percent 22 2 2" xfId="1779" xr:uid="{00000000-0005-0000-0000-0000F3060000}"/>
    <cellStyle name="Percent 22 2 3" xfId="1780" xr:uid="{00000000-0005-0000-0000-0000F4060000}"/>
    <cellStyle name="Percent 22 3" xfId="1781" xr:uid="{00000000-0005-0000-0000-0000F5060000}"/>
    <cellStyle name="Percent 22 4" xfId="1782" xr:uid="{00000000-0005-0000-0000-0000F6060000}"/>
    <cellStyle name="Percent 23" xfId="1783" xr:uid="{00000000-0005-0000-0000-0000F7060000}"/>
    <cellStyle name="Percent 24" xfId="1784" xr:uid="{00000000-0005-0000-0000-0000F8060000}"/>
    <cellStyle name="Percent 25" xfId="1785" xr:uid="{00000000-0005-0000-0000-0000F9060000}"/>
    <cellStyle name="Percent 26" xfId="1786" xr:uid="{00000000-0005-0000-0000-0000FA060000}"/>
    <cellStyle name="Percent 27" xfId="1787" xr:uid="{00000000-0005-0000-0000-0000FB060000}"/>
    <cellStyle name="Percent 28" xfId="1788" xr:uid="{00000000-0005-0000-0000-0000FC060000}"/>
    <cellStyle name="Percent 29" xfId="1789" xr:uid="{00000000-0005-0000-0000-0000FD060000}"/>
    <cellStyle name="Percent 3" xfId="1790" xr:uid="{00000000-0005-0000-0000-0000FE060000}"/>
    <cellStyle name="Percent 3 2" xfId="1791" xr:uid="{00000000-0005-0000-0000-0000FF060000}"/>
    <cellStyle name="Percent 3 2 2" xfId="1792" xr:uid="{00000000-0005-0000-0000-000000070000}"/>
    <cellStyle name="Percent 3 2 2 2" xfId="1793" xr:uid="{00000000-0005-0000-0000-000001070000}"/>
    <cellStyle name="Percent 3 3" xfId="1794" xr:uid="{00000000-0005-0000-0000-000002070000}"/>
    <cellStyle name="Percent 3 3 2" xfId="1795" xr:uid="{00000000-0005-0000-0000-000003070000}"/>
    <cellStyle name="Percent 3 3 3" xfId="1796" xr:uid="{00000000-0005-0000-0000-000004070000}"/>
    <cellStyle name="Percent 3 3 3 2" xfId="1797" xr:uid="{00000000-0005-0000-0000-000005070000}"/>
    <cellStyle name="Percent 3 4" xfId="1798" xr:uid="{00000000-0005-0000-0000-000006070000}"/>
    <cellStyle name="Percent 3 4 2" xfId="1799" xr:uid="{00000000-0005-0000-0000-000007070000}"/>
    <cellStyle name="Percent 3 5" xfId="1800" xr:uid="{00000000-0005-0000-0000-000008070000}"/>
    <cellStyle name="Percent 30" xfId="1801" xr:uid="{00000000-0005-0000-0000-000009070000}"/>
    <cellStyle name="Percent 31" xfId="1917" xr:uid="{5C5B632A-D04B-4373-838D-8DBA2998D5EF}"/>
    <cellStyle name="Percent 32" xfId="1921" xr:uid="{EF4C8B52-6E5F-4057-9A7F-F2E78C30BADD}"/>
    <cellStyle name="Percent 33" xfId="1932" xr:uid="{D2459811-774D-43EA-AB14-028D4EF2ADAD}"/>
    <cellStyle name="Percent 4" xfId="1802" xr:uid="{00000000-0005-0000-0000-00000A070000}"/>
    <cellStyle name="Percent 4 2" xfId="1803" xr:uid="{00000000-0005-0000-0000-00000B070000}"/>
    <cellStyle name="Percent 4 3" xfId="1804" xr:uid="{00000000-0005-0000-0000-00000C070000}"/>
    <cellStyle name="Percent 4 4" xfId="1805" xr:uid="{00000000-0005-0000-0000-00000D070000}"/>
    <cellStyle name="Percent 4 4 2" xfId="1806" xr:uid="{00000000-0005-0000-0000-00000E070000}"/>
    <cellStyle name="Percent 5" xfId="1807" xr:uid="{00000000-0005-0000-0000-00000F070000}"/>
    <cellStyle name="Percent 5 2" xfId="1808" xr:uid="{00000000-0005-0000-0000-000010070000}"/>
    <cellStyle name="Percent 5 2 2" xfId="1809" xr:uid="{00000000-0005-0000-0000-000011070000}"/>
    <cellStyle name="Percent 5 2 2 2" xfId="1810" xr:uid="{00000000-0005-0000-0000-000012070000}"/>
    <cellStyle name="Percent 5 3" xfId="1811" xr:uid="{00000000-0005-0000-0000-000013070000}"/>
    <cellStyle name="Percent 5 3 2" xfId="1812" xr:uid="{00000000-0005-0000-0000-000014070000}"/>
    <cellStyle name="Percent 5 4" xfId="1813" xr:uid="{00000000-0005-0000-0000-000015070000}"/>
    <cellStyle name="Percent 5 4 2" xfId="1814" xr:uid="{00000000-0005-0000-0000-000016070000}"/>
    <cellStyle name="Percent 6" xfId="1815" xr:uid="{00000000-0005-0000-0000-000017070000}"/>
    <cellStyle name="Percent 6 2" xfId="1816" xr:uid="{00000000-0005-0000-0000-000018070000}"/>
    <cellStyle name="Percent 7" xfId="1817" xr:uid="{00000000-0005-0000-0000-000019070000}"/>
    <cellStyle name="Percent 7 2" xfId="1818" xr:uid="{00000000-0005-0000-0000-00001A070000}"/>
    <cellStyle name="Percent 8" xfId="1819" xr:uid="{00000000-0005-0000-0000-00001B070000}"/>
    <cellStyle name="Percent 8 2" xfId="1820" xr:uid="{00000000-0005-0000-0000-00001C070000}"/>
    <cellStyle name="Percent 8 3" xfId="1821" xr:uid="{00000000-0005-0000-0000-00001D070000}"/>
    <cellStyle name="Percent 8 3 2" xfId="1822" xr:uid="{00000000-0005-0000-0000-00001E070000}"/>
    <cellStyle name="Percent 9" xfId="1823" xr:uid="{00000000-0005-0000-0000-00001F070000}"/>
    <cellStyle name="Percent 9 2" xfId="1824" xr:uid="{00000000-0005-0000-0000-000020070000}"/>
    <cellStyle name="Percent 9 3" xfId="1825" xr:uid="{00000000-0005-0000-0000-000021070000}"/>
    <cellStyle name="Percent 9 3 2" xfId="1826" xr:uid="{00000000-0005-0000-0000-000022070000}"/>
    <cellStyle name="PlanNameCover" xfId="1827" xr:uid="{00000000-0005-0000-0000-000023070000}"/>
    <cellStyle name="Report$Number" xfId="1828" xr:uid="{00000000-0005-0000-0000-000024070000}"/>
    <cellStyle name="ReportHeader" xfId="1829" xr:uid="{00000000-0005-0000-0000-000025070000}"/>
    <cellStyle name="ReportHeaderRowCol.*" xfId="1830" xr:uid="{00000000-0005-0000-0000-000026070000}"/>
    <cellStyle name="ReportHeaderRowCol.1" xfId="1831" xr:uid="{00000000-0005-0000-0000-000027070000}"/>
    <cellStyle name="ReportHeaderRowCol.2" xfId="1832" xr:uid="{00000000-0005-0000-0000-000028070000}"/>
    <cellStyle name="ReportHeaderRowCol.Date" xfId="1833" xr:uid="{00000000-0005-0000-0000-000029070000}"/>
    <cellStyle name="ReportIntegerNumber" xfId="1834" xr:uid="{00000000-0005-0000-0000-00002A070000}"/>
    <cellStyle name="ReportNumber" xfId="1835" xr:uid="{00000000-0005-0000-0000-00002B070000}"/>
    <cellStyle name="ReportSectionTitle" xfId="1836" xr:uid="{00000000-0005-0000-0000-00002C070000}"/>
    <cellStyle name="ReportSectionTitleCenter" xfId="1837" xr:uid="{00000000-0005-0000-0000-00002D070000}"/>
    <cellStyle name="ReportSectionTitleCenterWrap" xfId="1838" xr:uid="{00000000-0005-0000-0000-00002E070000}"/>
    <cellStyle name="ReportSectionTitleRight" xfId="1839" xr:uid="{00000000-0005-0000-0000-00002F070000}"/>
    <cellStyle name="ReportSectionTitleRightWrap" xfId="1840" xr:uid="{00000000-0005-0000-0000-000030070000}"/>
    <cellStyle name="ReportSectionTitleWrap" xfId="1841" xr:uid="{00000000-0005-0000-0000-000031070000}"/>
    <cellStyle name="ReportSectionTotal" xfId="1842" xr:uid="{00000000-0005-0000-0000-000032070000}"/>
    <cellStyle name="ReportText" xfId="1843" xr:uid="{00000000-0005-0000-0000-000033070000}"/>
    <cellStyle name="ReportTextCenter" xfId="1844" xr:uid="{00000000-0005-0000-0000-000034070000}"/>
    <cellStyle name="ReportTextTop" xfId="1845" xr:uid="{00000000-0005-0000-0000-000035070000}"/>
    <cellStyle name="ReportTextWrap" xfId="1846" xr:uid="{00000000-0005-0000-0000-000036070000}"/>
    <cellStyle name="ReportTitle" xfId="1847" xr:uid="{00000000-0005-0000-0000-000037070000}"/>
    <cellStyle name="SFColumnHeader" xfId="1848" xr:uid="{00000000-0005-0000-0000-000038070000}"/>
    <cellStyle name="SFColumnHeaderCenter" xfId="1849" xr:uid="{00000000-0005-0000-0000-000039070000}"/>
    <cellStyle name="SFIntegerNumber" xfId="1850" xr:uid="{00000000-0005-0000-0000-00003A070000}"/>
    <cellStyle name="SIIColumnHeader" xfId="1851" xr:uid="{00000000-0005-0000-0000-00003B070000}"/>
    <cellStyle name="SSAData" xfId="1852" xr:uid="{00000000-0005-0000-0000-00003C070000}"/>
    <cellStyle name="SSADataCenter" xfId="1853" xr:uid="{00000000-0005-0000-0000-00003D070000}"/>
    <cellStyle name="SSAEIN" xfId="1854" xr:uid="{00000000-0005-0000-0000-00003E070000}"/>
    <cellStyle name="SSAErrData" xfId="1855" xr:uid="{00000000-0005-0000-0000-00003F070000}"/>
    <cellStyle name="SSAGrid" xfId="1856" xr:uid="{00000000-0005-0000-0000-000040070000}"/>
    <cellStyle name="SSAHeader" xfId="1857" xr:uid="{00000000-0005-0000-0000-000041070000}"/>
    <cellStyle name="SSANumber" xfId="1858" xr:uid="{00000000-0005-0000-0000-000042070000}"/>
    <cellStyle name="SSANumberRight" xfId="1859" xr:uid="{00000000-0005-0000-0000-000043070000}"/>
    <cellStyle name="SSASSN" xfId="1860" xr:uid="{00000000-0005-0000-0000-000044070000}"/>
    <cellStyle name="SubgroupSectionHeaderRowBalanceCol" xfId="1861" xr:uid="{00000000-0005-0000-0000-000045070000}"/>
    <cellStyle name="SubgroupSectionHeaderRowDescCol" xfId="1862" xr:uid="{00000000-0005-0000-0000-000046070000}"/>
    <cellStyle name="SubgroupSectionHeaderRowNameCol" xfId="1863" xr:uid="{00000000-0005-0000-0000-000047070000}"/>
    <cellStyle name="SubGroupSelectionHeaderRowJERefCol" xfId="1864" xr:uid="{00000000-0005-0000-0000-000048070000}"/>
    <cellStyle name="SubgroupSubtotalRowBalanceCol" xfId="1865" xr:uid="{00000000-0005-0000-0000-000049070000}"/>
    <cellStyle name="SubgroupSubtotalRowDescCol" xfId="1866" xr:uid="{00000000-0005-0000-0000-00004A070000}"/>
    <cellStyle name="SubgroupSubtotalRowJERefCol" xfId="1867" xr:uid="{00000000-0005-0000-0000-00004B070000}"/>
    <cellStyle name="SubgroupSubtotalRowNameCol" xfId="1868" xr:uid="{00000000-0005-0000-0000-00004C070000}"/>
    <cellStyle name="SubgroupSubtotalRowSpacerCol" xfId="1869" xr:uid="{00000000-0005-0000-0000-00004D070000}"/>
    <cellStyle name="SubgroupSubtotalRowVarPectCol" xfId="1870" xr:uid="{00000000-0005-0000-0000-00004E070000}"/>
    <cellStyle name="SubgroupSubtotalRowWPRefCol" xfId="1871" xr:uid="{00000000-0005-0000-0000-00004F070000}"/>
    <cellStyle name="SumAccountGroupsRowBalanceCol" xfId="1872" xr:uid="{00000000-0005-0000-0000-000050070000}"/>
    <cellStyle name="SumAccountGroupsRowDescCol" xfId="1873" xr:uid="{00000000-0005-0000-0000-000051070000}"/>
    <cellStyle name="SumAccountGroupsRowJERefCol" xfId="1874" xr:uid="{00000000-0005-0000-0000-000052070000}"/>
    <cellStyle name="SumAccountGroupsRowNameCol" xfId="1875" xr:uid="{00000000-0005-0000-0000-000053070000}"/>
    <cellStyle name="SumAccountGroupsRowSpacerCol" xfId="1876" xr:uid="{00000000-0005-0000-0000-000054070000}"/>
    <cellStyle name="SumAccountGroupsRowVarPectCol" xfId="1877" xr:uid="{00000000-0005-0000-0000-000055070000}"/>
    <cellStyle name="SumAccountGroupsRowWPRefCol" xfId="1878" xr:uid="{00000000-0005-0000-0000-000056070000}"/>
    <cellStyle name="Title 2" xfId="1879" xr:uid="{00000000-0005-0000-0000-000057070000}"/>
    <cellStyle name="Title 2 2" xfId="1880" xr:uid="{00000000-0005-0000-0000-000058070000}"/>
    <cellStyle name="Title 2 3" xfId="1881" xr:uid="{00000000-0005-0000-0000-000059070000}"/>
    <cellStyle name="Title 2 4" xfId="1882" xr:uid="{00000000-0005-0000-0000-00005A070000}"/>
    <cellStyle name="Title 3" xfId="1883" xr:uid="{00000000-0005-0000-0000-00005B070000}"/>
    <cellStyle name="TOCPageNumber" xfId="1884" xr:uid="{00000000-0005-0000-0000-00005C070000}"/>
    <cellStyle name="TOCPageNumHeader" xfId="1885" xr:uid="{00000000-0005-0000-0000-00005D070000}"/>
    <cellStyle name="TOCSectionHeader" xfId="1886" xr:uid="{00000000-0005-0000-0000-00005E070000}"/>
    <cellStyle name="Total" xfId="1887" builtinId="25" customBuiltin="1"/>
    <cellStyle name="Total 2" xfId="1888" xr:uid="{00000000-0005-0000-0000-000060070000}"/>
    <cellStyle name="Total 2 2" xfId="1889" xr:uid="{00000000-0005-0000-0000-000061070000}"/>
    <cellStyle name="Total 2 3" xfId="1890" xr:uid="{00000000-0005-0000-0000-000062070000}"/>
    <cellStyle name="Total 2 4" xfId="1891" xr:uid="{00000000-0005-0000-0000-000063070000}"/>
    <cellStyle name="Total 2 5" xfId="1892" xr:uid="{00000000-0005-0000-0000-000064070000}"/>
    <cellStyle name="Total 2 6" xfId="1893" xr:uid="{00000000-0005-0000-0000-000065070000}"/>
    <cellStyle name="Total 3" xfId="1894" xr:uid="{00000000-0005-0000-0000-000066070000}"/>
    <cellStyle name="Total 3 2" xfId="1895" xr:uid="{00000000-0005-0000-0000-000067070000}"/>
    <cellStyle name="Total 3 3" xfId="1896" xr:uid="{00000000-0005-0000-0000-000068070000}"/>
    <cellStyle name="TotalRow" xfId="1897" xr:uid="{00000000-0005-0000-0000-000069070000}"/>
    <cellStyle name="TotalRowCreditCol" xfId="1898" xr:uid="{00000000-0005-0000-0000-00006A070000}"/>
    <cellStyle name="TotalRowDebitCol" xfId="1899" xr:uid="{00000000-0005-0000-0000-00006B070000}"/>
    <cellStyle name="TransactionRowAcctDescCol" xfId="1900" xr:uid="{00000000-0005-0000-0000-00006C070000}"/>
    <cellStyle name="TransactionRowAcctNumCol" xfId="1901" xr:uid="{00000000-0005-0000-0000-00006D070000}"/>
    <cellStyle name="TransactionRowCreditCol" xfId="1902" xr:uid="{00000000-0005-0000-0000-00006E070000}"/>
    <cellStyle name="TransactionRowDateCol" xfId="1903" xr:uid="{00000000-0005-0000-0000-00006F070000}"/>
    <cellStyle name="TransactionRowDebitCol" xfId="1904" xr:uid="{00000000-0005-0000-0000-000070070000}"/>
    <cellStyle name="TransactionRowRefCol" xfId="1905" xr:uid="{00000000-0005-0000-0000-000071070000}"/>
    <cellStyle name="TransactionRowTransactionCol" xfId="1906" xr:uid="{00000000-0005-0000-0000-000072070000}"/>
    <cellStyle name="UnclassifiedTotalRowBalanceCol" xfId="1907" xr:uid="{00000000-0005-0000-0000-000073070000}"/>
    <cellStyle name="UnclassifiedTotalRowDescCol" xfId="1908" xr:uid="{00000000-0005-0000-0000-000074070000}"/>
    <cellStyle name="UnclassifiedTotalRowJERefCol" xfId="1909" xr:uid="{00000000-0005-0000-0000-000075070000}"/>
    <cellStyle name="UnclassifiedTotalRowNameCol" xfId="1910" xr:uid="{00000000-0005-0000-0000-000076070000}"/>
    <cellStyle name="UnclassifiedTotalRowSpacerCol" xfId="1911" xr:uid="{00000000-0005-0000-0000-000077070000}"/>
    <cellStyle name="UnclassifiedTotalRowVarPectCol" xfId="1912" xr:uid="{00000000-0005-0000-0000-000078070000}"/>
    <cellStyle name="UnclassifiedTotalRowWPRefCol" xfId="1913" xr:uid="{00000000-0005-0000-0000-000079070000}"/>
    <cellStyle name="Warning Text" xfId="1914" builtinId="11" customBuiltin="1"/>
    <cellStyle name="Warning Text 2" xfId="1915" xr:uid="{00000000-0005-0000-0000-00007B070000}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thin">
          <color rgb="FF000000"/>
        </top>
      </border>
    </dxf>
    <dxf>
      <font>
        <b/>
        <color rgb="FF000000"/>
      </font>
      <border>
        <bottom style="thin">
          <color rgb="FF000000"/>
        </bottom>
      </border>
    </dxf>
    <dxf>
      <font>
        <color rgb="FF000000"/>
      </font>
      <border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1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7bD62FCAE1-6D76-45AE-B87C-4BB2294966B9%7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14D3641A-24D0-47E5-9B00-EEBC5892DA7F%7d/%7bEF63253A-33F1-403A-9A25-58826A2EAEAF%7d/%7bff7fffbe-a5bd-478a-a1dc-745be86c6571%7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r Template"/>
      <sheetName val="Test #1"/>
      <sheetName val="Test #2"/>
      <sheetName val="Test #3"/>
      <sheetName val="Test #4"/>
      <sheetName val="Test #5"/>
      <sheetName val="Contribution Allocation_Report"/>
      <sheetName val="Sheet13"/>
      <sheetName val="OPEB Amounts_Report"/>
      <sheetName val="PY_OPEB Amounts"/>
      <sheetName val="Amortization Tables_Report"/>
      <sheetName val="Discount Rate Sensitivity"/>
      <sheetName val="Trend Rate Sensitivity"/>
      <sheetName val="Change in Proportion Layers"/>
      <sheetName val="Change in Proportion Calc"/>
      <sheetName val="Contributions_21"/>
      <sheetName val="Membership"/>
      <sheetName val="Note 3a"/>
      <sheetName val="Notes 3b"/>
      <sheetName val="Notes 3c"/>
      <sheetName val="Note 3d"/>
      <sheetName val="Note 5"/>
      <sheetName val="Note 5a"/>
      <sheetName val="Acerno_Cache_XXXXX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>
            <v>1341</v>
          </cell>
          <cell r="B9" t="str">
            <v>STATE OF NEW MEXICO</v>
          </cell>
        </row>
        <row r="10">
          <cell r="A10">
            <v>2308</v>
          </cell>
          <cell r="B10" t="str">
            <v>21ST CENTURY PUBLIC ACADEMY</v>
          </cell>
        </row>
        <row r="11">
          <cell r="A11">
            <v>2340</v>
          </cell>
          <cell r="B11" t="str">
            <v>ABQ CHARTER ACADEMY</v>
          </cell>
        </row>
        <row r="12">
          <cell r="A12">
            <v>1301</v>
          </cell>
          <cell r="B12" t="str">
            <v>ACADEMY FOR TECHNOLOGY &amp; THE CLASSICS</v>
          </cell>
        </row>
        <row r="13">
          <cell r="A13">
            <v>2390</v>
          </cell>
          <cell r="B13" t="str">
            <v>ACE LEADERSHIP</v>
          </cell>
        </row>
        <row r="14">
          <cell r="A14">
            <v>2441</v>
          </cell>
          <cell r="B14" t="str">
            <v>ACES TECHNICAL CHARTER SCHOOL</v>
          </cell>
        </row>
        <row r="15">
          <cell r="A15">
            <v>15046</v>
          </cell>
          <cell r="B15" t="str">
            <v>ALAMOGORDO PUBLIC SCHOOLS</v>
          </cell>
        </row>
        <row r="16">
          <cell r="A16">
            <v>4380</v>
          </cell>
          <cell r="B16" t="str">
            <v>ALBUQUERQUE BERNALILLO COUNTY WATER UTILITY AUTHORITY</v>
          </cell>
        </row>
        <row r="17">
          <cell r="A17">
            <v>2343</v>
          </cell>
          <cell r="B17" t="str">
            <v>ALBUQUERQUE BILINGUAL ACADEMY</v>
          </cell>
        </row>
        <row r="18">
          <cell r="A18">
            <v>2435</v>
          </cell>
          <cell r="B18" t="str">
            <v>ALBUQUERQUE COLLEGIATE</v>
          </cell>
        </row>
        <row r="19">
          <cell r="A19">
            <v>4560</v>
          </cell>
          <cell r="B19" t="str">
            <v>ALBUQUERQUE HOUSING AUTHORITY</v>
          </cell>
        </row>
        <row r="20">
          <cell r="A20">
            <v>2341</v>
          </cell>
          <cell r="B20" t="str">
            <v xml:space="preserve">ALBUQUERQUE INSTITUTE FOR MATHEMATICS AND SCIENCE </v>
          </cell>
        </row>
        <row r="21">
          <cell r="A21">
            <v>4580</v>
          </cell>
          <cell r="B21" t="str">
            <v>ALBUQUERQUE METROPOLITAN ARROYO FLOOD CONTROL AUTHORITY</v>
          </cell>
        </row>
        <row r="22">
          <cell r="A22">
            <v>2003</v>
          </cell>
          <cell r="B22" t="str">
            <v>ALBUQUERQUE PUBLIC SCHOOLS</v>
          </cell>
        </row>
        <row r="23">
          <cell r="A23">
            <v>2412</v>
          </cell>
          <cell r="B23" t="str">
            <v>ALBUQUERQUE SCHOOL OF EXCELLENCE</v>
          </cell>
        </row>
        <row r="24">
          <cell r="A24">
            <v>2402</v>
          </cell>
          <cell r="B24" t="str">
            <v>ALBUQUERQUE SIGN LANGUAGE ACADEMY</v>
          </cell>
        </row>
        <row r="25">
          <cell r="A25">
            <v>2361</v>
          </cell>
          <cell r="B25" t="str">
            <v>ALBUQUERQUE TALENT DEVELOPMENT SECONDARY CHARTER SCHOOL</v>
          </cell>
        </row>
        <row r="26">
          <cell r="A26">
            <v>8347</v>
          </cell>
          <cell r="B26" t="str">
            <v>ALDO LEOPOLD CHARTER SCHOOL</v>
          </cell>
        </row>
        <row r="27">
          <cell r="A27">
            <v>2356</v>
          </cell>
          <cell r="B27" t="str">
            <v>ALICE KING COMMUNITY SCHOOL</v>
          </cell>
        </row>
        <row r="28">
          <cell r="A28">
            <v>7335</v>
          </cell>
          <cell r="B28" t="str">
            <v>ALMA D' ARTE CHARTER HIGH</v>
          </cell>
        </row>
        <row r="29">
          <cell r="A29">
            <v>575</v>
          </cell>
          <cell r="B29" t="str">
            <v>ALTURA PREP</v>
          </cell>
        </row>
        <row r="30">
          <cell r="A30">
            <v>2303</v>
          </cell>
          <cell r="B30" t="str">
            <v>AMY BIEHL CHARTER SCHOOL</v>
          </cell>
        </row>
        <row r="31">
          <cell r="A31">
            <v>20316</v>
          </cell>
          <cell r="B31" t="str">
            <v>ANANSI CHARTER SCHOOL</v>
          </cell>
        </row>
        <row r="32">
          <cell r="A32">
            <v>23121</v>
          </cell>
          <cell r="B32" t="str">
            <v>ANIMAS PUBLIC SCHOOLS</v>
          </cell>
        </row>
        <row r="33">
          <cell r="A33">
            <v>3004</v>
          </cell>
          <cell r="B33" t="str">
            <v>ARTESIA PUBLIC SCHOOLS</v>
          </cell>
        </row>
        <row r="34">
          <cell r="A34">
            <v>16050</v>
          </cell>
          <cell r="B34" t="str">
            <v>AZTEC MUNICIPAL SCHOOLS</v>
          </cell>
        </row>
        <row r="35">
          <cell r="A35">
            <v>14043</v>
          </cell>
          <cell r="B35" t="str">
            <v>BELEN CONSOLIDATED SCHOOLS</v>
          </cell>
        </row>
        <row r="36">
          <cell r="A36">
            <v>3010</v>
          </cell>
          <cell r="B36" t="str">
            <v>BERNALILLO COUNTY</v>
          </cell>
        </row>
        <row r="37">
          <cell r="A37">
            <v>29086</v>
          </cell>
          <cell r="B37" t="str">
            <v>BERNALILLO PUBLIC SCHOOLS</v>
          </cell>
        </row>
        <row r="38">
          <cell r="A38">
            <v>16051</v>
          </cell>
          <cell r="B38" t="str">
            <v>BLOOMFIELD MUNICIPAL SCHOOLS</v>
          </cell>
        </row>
        <row r="39">
          <cell r="A39">
            <v>26077</v>
          </cell>
          <cell r="B39" t="str">
            <v>CAPITAN MUNICIPAL SCHOOLS</v>
          </cell>
        </row>
        <row r="40">
          <cell r="A40">
            <v>3005</v>
          </cell>
          <cell r="B40" t="str">
            <v>CARLSBAD MUNICIPAL SCHOOLS</v>
          </cell>
        </row>
        <row r="41">
          <cell r="A41">
            <v>26078</v>
          </cell>
          <cell r="B41" t="str">
            <v>CARRIZOZO MUNICIPAL SCHOOLS</v>
          </cell>
        </row>
        <row r="42">
          <cell r="A42">
            <v>16053</v>
          </cell>
          <cell r="B42" t="str">
            <v>CENTRAL CONSOLIDATED SCHOOL DISTRICT #22</v>
          </cell>
        </row>
        <row r="43">
          <cell r="A43">
            <v>2123</v>
          </cell>
          <cell r="B43" t="str">
            <v>CENTRAL NEW MEXICO COMMUNITY COLLEGE</v>
          </cell>
        </row>
        <row r="44">
          <cell r="A44">
            <v>2150</v>
          </cell>
          <cell r="B44" t="str">
            <v>CENTRAL REGION EDUCATION COOPERATIVE</v>
          </cell>
        </row>
        <row r="45">
          <cell r="A45">
            <v>2336</v>
          </cell>
          <cell r="B45" t="str">
            <v>CESAR CHAVEZ COMMUNITY CHARTER SCHOOL</v>
          </cell>
        </row>
        <row r="46">
          <cell r="A46">
            <v>17126</v>
          </cell>
          <cell r="B46" t="str">
            <v>CHAMA VALLEY INDEPENDENT SCHOOLS</v>
          </cell>
        </row>
        <row r="47">
          <cell r="A47">
            <v>3030</v>
          </cell>
          <cell r="B47" t="str">
            <v>CHAVES COUNTY</v>
          </cell>
        </row>
        <row r="48">
          <cell r="A48">
            <v>2353</v>
          </cell>
          <cell r="B48" t="str">
            <v>CHRISTINE DUNCAN'S HERITAGE ACADEMY</v>
          </cell>
        </row>
        <row r="49">
          <cell r="A49">
            <v>3040</v>
          </cell>
          <cell r="B49" t="str">
            <v>CIBOLA COUNTY</v>
          </cell>
        </row>
        <row r="50">
          <cell r="A50">
            <v>2367</v>
          </cell>
          <cell r="B50" t="str">
            <v>CIEN AGUAS INTERNATIONAL CHARTER SCHOOL</v>
          </cell>
        </row>
        <row r="51">
          <cell r="A51">
            <v>9027</v>
          </cell>
          <cell r="B51" t="str">
            <v>CIMARRON MUNICIPAL SCHOOLS</v>
          </cell>
        </row>
        <row r="52">
          <cell r="A52">
            <v>2010</v>
          </cell>
          <cell r="B52" t="str">
            <v>CITY OF ALAMOGORDO</v>
          </cell>
        </row>
        <row r="53">
          <cell r="A53">
            <v>2020</v>
          </cell>
          <cell r="B53" t="str">
            <v>CITY OF ALBUQUERQUE</v>
          </cell>
        </row>
        <row r="54">
          <cell r="A54">
            <v>2040</v>
          </cell>
          <cell r="B54" t="str">
            <v>CITY OF AZTEC</v>
          </cell>
        </row>
        <row r="55">
          <cell r="A55">
            <v>2060</v>
          </cell>
          <cell r="B55" t="str">
            <v>CITY OF BELEN</v>
          </cell>
        </row>
        <row r="56">
          <cell r="A56">
            <v>2090</v>
          </cell>
          <cell r="B56" t="str">
            <v>CITY OF BLOOMFIELD</v>
          </cell>
        </row>
        <row r="57">
          <cell r="A57">
            <v>2110</v>
          </cell>
          <cell r="B57" t="str">
            <v>CITY OF CARLSBAD</v>
          </cell>
        </row>
        <row r="58">
          <cell r="A58">
            <v>2180</v>
          </cell>
          <cell r="B58" t="str">
            <v>CITY OF CLOVIS</v>
          </cell>
        </row>
        <row r="59">
          <cell r="A59">
            <v>2210</v>
          </cell>
          <cell r="B59" t="str">
            <v>CITY OF DEMING</v>
          </cell>
        </row>
        <row r="60">
          <cell r="A60">
            <v>2290</v>
          </cell>
          <cell r="B60" t="str">
            <v>CITY OF ESPANOLA</v>
          </cell>
        </row>
        <row r="61">
          <cell r="A61">
            <v>2310</v>
          </cell>
          <cell r="B61" t="str">
            <v>CITY OF FARMINGTON</v>
          </cell>
        </row>
        <row r="62">
          <cell r="A62">
            <v>2330</v>
          </cell>
          <cell r="B62" t="str">
            <v>CITY OF GALLUP</v>
          </cell>
        </row>
        <row r="63">
          <cell r="A63">
            <v>2380</v>
          </cell>
          <cell r="B63" t="str">
            <v>CITY OF JAL</v>
          </cell>
        </row>
        <row r="64">
          <cell r="A64">
            <v>2400</v>
          </cell>
          <cell r="B64" t="str">
            <v>CITY OF LAS CRUCES</v>
          </cell>
        </row>
        <row r="65">
          <cell r="A65">
            <v>2410</v>
          </cell>
          <cell r="B65" t="str">
            <v>CITY OF LAS VEGAS</v>
          </cell>
        </row>
        <row r="66">
          <cell r="A66">
            <v>2500</v>
          </cell>
          <cell r="B66" t="str">
            <v>CITY OF MORIARTY</v>
          </cell>
        </row>
        <row r="67">
          <cell r="A67">
            <v>2550</v>
          </cell>
          <cell r="B67" t="str">
            <v>CITY OF PORTALES</v>
          </cell>
        </row>
        <row r="68">
          <cell r="A68">
            <v>2570</v>
          </cell>
          <cell r="B68" t="str">
            <v>CITY OF RATON</v>
          </cell>
        </row>
        <row r="69">
          <cell r="A69">
            <v>2620</v>
          </cell>
          <cell r="B69" t="str">
            <v>CITY OF RIO RANCHO</v>
          </cell>
        </row>
        <row r="70">
          <cell r="A70">
            <v>2630</v>
          </cell>
          <cell r="B70" t="str">
            <v>CITY OF ROSWELL</v>
          </cell>
        </row>
        <row r="71">
          <cell r="A71">
            <v>2690</v>
          </cell>
          <cell r="B71" t="str">
            <v>CITY OF SANTA FE</v>
          </cell>
        </row>
        <row r="72">
          <cell r="A72">
            <v>2710</v>
          </cell>
          <cell r="B72" t="str">
            <v>CITY OF SANTA ROSA</v>
          </cell>
        </row>
        <row r="73">
          <cell r="A73">
            <v>2730</v>
          </cell>
          <cell r="B73" t="str">
            <v>CITY OF SOCORRO</v>
          </cell>
        </row>
        <row r="74">
          <cell r="A74">
            <v>2950</v>
          </cell>
          <cell r="B74" t="str">
            <v>CITY OF SUNLAND PARK</v>
          </cell>
        </row>
        <row r="75">
          <cell r="A75">
            <v>2760</v>
          </cell>
          <cell r="B75" t="str">
            <v>CITY OF T OR C</v>
          </cell>
        </row>
        <row r="76">
          <cell r="A76">
            <v>2780</v>
          </cell>
          <cell r="B76" t="str">
            <v>CITY OF TEXICO</v>
          </cell>
        </row>
        <row r="77">
          <cell r="A77">
            <v>2810</v>
          </cell>
          <cell r="B77" t="str">
            <v>CITY OF TUCUMCARI</v>
          </cell>
        </row>
        <row r="78">
          <cell r="A78">
            <v>18056</v>
          </cell>
          <cell r="B78" t="str">
            <v>CLAYTON MUNICIPAL SCHOOLS</v>
          </cell>
        </row>
        <row r="79">
          <cell r="A79">
            <v>15047</v>
          </cell>
          <cell r="B79" t="str">
            <v>CLOUDCROFT MUNICIPAL  SCHOOL DISTRICT</v>
          </cell>
        </row>
        <row r="80">
          <cell r="A80">
            <v>5012</v>
          </cell>
          <cell r="B80" t="str">
            <v>CLOVIS MUNICIPAL SCHOOLS</v>
          </cell>
        </row>
        <row r="81">
          <cell r="A81">
            <v>8024</v>
          </cell>
          <cell r="B81" t="str">
            <v>COBRE CONSOLIDATED SCHOOLS</v>
          </cell>
        </row>
        <row r="82">
          <cell r="A82">
            <v>3050</v>
          </cell>
          <cell r="B82" t="str">
            <v>COLFAX COUNTY</v>
          </cell>
        </row>
        <row r="83">
          <cell r="A83">
            <v>2421</v>
          </cell>
          <cell r="B83" t="str">
            <v>CORAL COMMUNITY CHARTER SCHOOL</v>
          </cell>
        </row>
        <row r="84">
          <cell r="A84">
            <v>26079</v>
          </cell>
          <cell r="B84" t="str">
            <v>CORONA PUBLIC SCHOOLS</v>
          </cell>
        </row>
        <row r="85">
          <cell r="A85">
            <v>2363</v>
          </cell>
          <cell r="B85" t="str">
            <v>CORRALES INTERNATIONAL SCHOOL</v>
          </cell>
        </row>
        <row r="86">
          <cell r="A86">
            <v>2364</v>
          </cell>
          <cell r="B86" t="str">
            <v xml:space="preserve">COTTONWOOD CLASSICAL PREPARATORY SCHOOL </v>
          </cell>
        </row>
        <row r="87">
          <cell r="A87">
            <v>25319</v>
          </cell>
          <cell r="B87" t="str">
            <v>COTTONWOOD VALLEY CHARTER SCHOOL</v>
          </cell>
        </row>
        <row r="88">
          <cell r="A88">
            <v>29087</v>
          </cell>
          <cell r="B88" t="str">
            <v>CUBA INDEPENDENT SCHOOLS</v>
          </cell>
        </row>
        <row r="89">
          <cell r="A89">
            <v>3060</v>
          </cell>
          <cell r="B89" t="str">
            <v>CURRY COUNTY</v>
          </cell>
        </row>
        <row r="90">
          <cell r="A90">
            <v>19301</v>
          </cell>
          <cell r="B90" t="str">
            <v>DEMING CESAR CHAVEZ CHARTER HIGH SCHOOL</v>
          </cell>
        </row>
        <row r="91">
          <cell r="A91">
            <v>19059</v>
          </cell>
          <cell r="B91" t="str">
            <v>DEMING PUBLIC SCHOOLS</v>
          </cell>
        </row>
        <row r="92">
          <cell r="A92">
            <v>18057</v>
          </cell>
          <cell r="B92" t="str">
            <v>DES MOINES MUNICIPAL SCHOOLS</v>
          </cell>
        </row>
        <row r="93">
          <cell r="A93">
            <v>4008</v>
          </cell>
          <cell r="B93" t="str">
            <v>DEXTER CONSOLIDATED SCHOOLS</v>
          </cell>
        </row>
        <row r="94">
          <cell r="A94">
            <v>2350</v>
          </cell>
          <cell r="B94" t="str">
            <v>DIGITAL ARTS &amp; TECHNOLOGY ACADEMY</v>
          </cell>
        </row>
        <row r="95">
          <cell r="A95">
            <v>11117</v>
          </cell>
          <cell r="B95" t="str">
            <v>DORA CONSOLIDATED SCHOOLS</v>
          </cell>
        </row>
        <row r="96">
          <cell r="A96">
            <v>16359</v>
          </cell>
          <cell r="B96" t="str">
            <v>DREAM DINE' CHARTER SCHOOL</v>
          </cell>
        </row>
        <row r="97">
          <cell r="A97">
            <v>17115</v>
          </cell>
          <cell r="B97" t="str">
            <v>DULCE INDEPENDENT SCHOOLS</v>
          </cell>
        </row>
        <row r="98">
          <cell r="A98">
            <v>32117</v>
          </cell>
          <cell r="B98" t="str">
            <v>DZIL DIT L'OOI SCHOOL OF EMPOWERMENT</v>
          </cell>
        </row>
        <row r="99">
          <cell r="A99">
            <v>2304</v>
          </cell>
          <cell r="B99" t="str">
            <v>EAST MOUNTAIN HIGH SCHOOL</v>
          </cell>
        </row>
        <row r="100">
          <cell r="A100">
            <v>11101</v>
          </cell>
          <cell r="B100" t="str">
            <v>EASTERN NEW MEXICO UNIVERSITY AT PORTALES</v>
          </cell>
        </row>
        <row r="101">
          <cell r="A101">
            <v>11102</v>
          </cell>
          <cell r="B101" t="str">
            <v>EASTERN NEW MEXICO UNIVERSITY AT ROSWELL</v>
          </cell>
        </row>
        <row r="102">
          <cell r="A102">
            <v>3100</v>
          </cell>
          <cell r="B102" t="str">
            <v>EDDY COUNTY</v>
          </cell>
        </row>
        <row r="103">
          <cell r="A103">
            <v>2323</v>
          </cell>
          <cell r="B103" t="str">
            <v>EL CAMINO REAL ACADEMY</v>
          </cell>
        </row>
        <row r="104">
          <cell r="A104">
            <v>11034</v>
          </cell>
          <cell r="B104" t="str">
            <v>ELIDA MUNICIPAL SCHOOLS</v>
          </cell>
        </row>
        <row r="105">
          <cell r="A105">
            <v>17054</v>
          </cell>
          <cell r="B105" t="str">
            <v>ESPANOLA PUBLIC SCHOOLS</v>
          </cell>
        </row>
        <row r="106">
          <cell r="A106">
            <v>22065</v>
          </cell>
          <cell r="B106" t="str">
            <v>ESTANCIA MUNICIPAL SCHOOLS</v>
          </cell>
        </row>
        <row r="107">
          <cell r="A107">
            <v>22201</v>
          </cell>
          <cell r="B107" t="str">
            <v>ESTANCIA VALLEY CLASSICAL CHARTER SCHOOL</v>
          </cell>
        </row>
        <row r="108">
          <cell r="A108">
            <v>6016</v>
          </cell>
          <cell r="B108" t="str">
            <v>EUNICE PUBLIC SCHOOLS</v>
          </cell>
        </row>
        <row r="109">
          <cell r="A109">
            <v>7440</v>
          </cell>
          <cell r="B109" t="str">
            <v>EXPLORE LAS CRUCES</v>
          </cell>
        </row>
        <row r="110">
          <cell r="A110">
            <v>2432</v>
          </cell>
          <cell r="B110" t="str">
            <v>EXPLORE ACADEMY</v>
          </cell>
        </row>
        <row r="111">
          <cell r="A111">
            <v>16052</v>
          </cell>
          <cell r="B111" t="str">
            <v>FARMINGTON MUNICIPAL SCHOOLS</v>
          </cell>
        </row>
        <row r="112">
          <cell r="A112">
            <v>11118</v>
          </cell>
          <cell r="B112" t="str">
            <v>FLOYD MUNICIPAL SCHOOLS</v>
          </cell>
        </row>
        <row r="113">
          <cell r="A113">
            <v>27083</v>
          </cell>
          <cell r="B113" t="str">
            <v>FT SUMNER MUNICIPAL SCHOOLS</v>
          </cell>
        </row>
        <row r="114">
          <cell r="A114">
            <v>7021</v>
          </cell>
          <cell r="B114" t="str">
            <v>GADSDEN INDEPENDENT SCHOOL DISTRICT</v>
          </cell>
        </row>
        <row r="115">
          <cell r="A115">
            <v>4140</v>
          </cell>
          <cell r="B115" t="str">
            <v>GALLUP HOUSING AUTHORITY</v>
          </cell>
        </row>
        <row r="116">
          <cell r="A116">
            <v>13041</v>
          </cell>
          <cell r="B116" t="str">
            <v>GALLUP-MCKINLEY COUNTY SCHOOLS</v>
          </cell>
        </row>
        <row r="117">
          <cell r="A117">
            <v>2339</v>
          </cell>
          <cell r="B117" t="str">
            <v>GILBERT L. SENA CHARTER HIGH SCHOOL</v>
          </cell>
        </row>
        <row r="118">
          <cell r="A118">
            <v>2362</v>
          </cell>
          <cell r="B118" t="str">
            <v>GORDON BERNELL CHARTER SCHOOL</v>
          </cell>
        </row>
        <row r="119">
          <cell r="A119">
            <v>5013</v>
          </cell>
          <cell r="B119" t="str">
            <v>GRADY MUNICIPAL SCHOOLS</v>
          </cell>
        </row>
        <row r="120">
          <cell r="A120">
            <v>3110</v>
          </cell>
          <cell r="B120" t="str">
            <v>GRANT COUNTY</v>
          </cell>
        </row>
        <row r="121">
          <cell r="A121">
            <v>14044</v>
          </cell>
          <cell r="B121" t="str">
            <v>GRANTS-CIBOLA COUNTY SCHOOLS</v>
          </cell>
        </row>
        <row r="122">
          <cell r="A122">
            <v>4009</v>
          </cell>
          <cell r="B122" t="str">
            <v>HAGERMAN MUNICIPAL SCHOOLS</v>
          </cell>
        </row>
        <row r="123">
          <cell r="A123">
            <v>7022</v>
          </cell>
          <cell r="B123" t="str">
            <v>HATCH VALLEY MUNICIPAL SCHOOLS</v>
          </cell>
        </row>
        <row r="124">
          <cell r="A124">
            <v>2430</v>
          </cell>
          <cell r="B124" t="str">
            <v>HEALTH LEADERSHIP HIGH SCHOOL</v>
          </cell>
        </row>
        <row r="125">
          <cell r="A125">
            <v>9150</v>
          </cell>
          <cell r="B125" t="str">
            <v>HIGH PLAINS REGIONAL EDUCATION COOPERATIVE</v>
          </cell>
        </row>
        <row r="126">
          <cell r="A126">
            <v>6017</v>
          </cell>
          <cell r="B126" t="str">
            <v>HOBBS MUNICIPAL SCHOOLS</v>
          </cell>
        </row>
        <row r="127">
          <cell r="A127">
            <v>26080</v>
          </cell>
          <cell r="B127" t="str">
            <v>HONDO VALLEY PUBLIC SCHOOLS</v>
          </cell>
        </row>
        <row r="128">
          <cell r="A128">
            <v>2327</v>
          </cell>
          <cell r="B128" t="str">
            <v>HORIZON ACADEMY WEST</v>
          </cell>
        </row>
        <row r="129">
          <cell r="A129">
            <v>10119</v>
          </cell>
          <cell r="B129" t="str">
            <v>HOUSE MUNICIPAL SCHOOLS</v>
          </cell>
        </row>
        <row r="130">
          <cell r="A130">
            <v>573</v>
          </cell>
          <cell r="B130" t="str">
            <v>HOZHO ACADEMY</v>
          </cell>
        </row>
        <row r="131">
          <cell r="A131">
            <v>2368</v>
          </cell>
          <cell r="B131" t="str">
            <v>INTERNATIONAL SCHOOL AT MESA DEL SOL</v>
          </cell>
        </row>
        <row r="132">
          <cell r="A132">
            <v>7420</v>
          </cell>
          <cell r="B132" t="str">
            <v>J. PAUL TAYLOR ACADEMY</v>
          </cell>
        </row>
        <row r="133">
          <cell r="A133">
            <v>6018</v>
          </cell>
          <cell r="B133" t="str">
            <v>JAL PUBLIC SCHOOLS</v>
          </cell>
        </row>
        <row r="134">
          <cell r="A134">
            <v>3321</v>
          </cell>
          <cell r="B134" t="str">
            <v>JEFFERSON MONTESSORI ACADEMY</v>
          </cell>
        </row>
        <row r="135">
          <cell r="A135">
            <v>29122</v>
          </cell>
          <cell r="B135" t="str">
            <v>JEMEZ MOUNTAIN SCHOOL DISTRICT</v>
          </cell>
        </row>
        <row r="136">
          <cell r="A136">
            <v>29088</v>
          </cell>
          <cell r="B136" t="str">
            <v>JEMEZ VALLEY PUBLIC SCHOOLS</v>
          </cell>
        </row>
        <row r="137">
          <cell r="A137">
            <v>7337</v>
          </cell>
          <cell r="B137" t="str">
            <v>LA ACADEMIA DE DOLORES HUERTA</v>
          </cell>
        </row>
        <row r="138">
          <cell r="A138">
            <v>2329</v>
          </cell>
          <cell r="B138" t="str">
            <v>LA ACADEMIA DE ESPERANZA CHARTER SCHOOL</v>
          </cell>
        </row>
        <row r="139">
          <cell r="A139">
            <v>17425</v>
          </cell>
          <cell r="B139" t="str">
            <v>LA TIERRA MONTESSORI SCHOOL</v>
          </cell>
        </row>
        <row r="140">
          <cell r="A140">
            <v>4010</v>
          </cell>
          <cell r="B140" t="str">
            <v>LAKE ARTHUR SCHOOLS</v>
          </cell>
        </row>
        <row r="141">
          <cell r="A141">
            <v>7023</v>
          </cell>
          <cell r="B141" t="str">
            <v>LAS CRUCES PUBLIC SCHOOLS</v>
          </cell>
        </row>
        <row r="142">
          <cell r="A142">
            <v>7338</v>
          </cell>
          <cell r="B142" t="str">
            <v>LAS MONTANAS CHARTER HIGH SCHOOL</v>
          </cell>
        </row>
        <row r="143">
          <cell r="A143">
            <v>12037</v>
          </cell>
          <cell r="B143" t="str">
            <v>LAS VEGAS CITY SCHOOLS</v>
          </cell>
        </row>
        <row r="144">
          <cell r="A144">
            <v>3150</v>
          </cell>
          <cell r="B144" t="str">
            <v>LEA COUNTY</v>
          </cell>
        </row>
        <row r="145">
          <cell r="A145">
            <v>3160</v>
          </cell>
          <cell r="B145" t="str">
            <v>LINCOLN COUNTY</v>
          </cell>
        </row>
        <row r="146">
          <cell r="A146">
            <v>10120</v>
          </cell>
          <cell r="B146" t="str">
            <v>LOGAN MUNICIPAL SCHOOLS</v>
          </cell>
        </row>
        <row r="147">
          <cell r="A147">
            <v>23070</v>
          </cell>
          <cell r="B147" t="str">
            <v>LORDSBURG MUNICIPAL SCHOOLS</v>
          </cell>
        </row>
        <row r="148">
          <cell r="A148">
            <v>3170</v>
          </cell>
          <cell r="B148" t="str">
            <v>LOS ALAMOS COUNTY</v>
          </cell>
        </row>
        <row r="149">
          <cell r="A149">
            <v>32093</v>
          </cell>
          <cell r="B149" t="str">
            <v>LOS ALAMOS PUBLIC SCHOOLS</v>
          </cell>
        </row>
        <row r="150">
          <cell r="A150">
            <v>14045</v>
          </cell>
          <cell r="B150" t="str">
            <v>LOS LUNAS CONSOLIDATED SCHOOLS</v>
          </cell>
        </row>
        <row r="151">
          <cell r="A151">
            <v>2322</v>
          </cell>
          <cell r="B151" t="str">
            <v>LOS PUENTES CHARTER SCHOOL</v>
          </cell>
        </row>
        <row r="152">
          <cell r="A152">
            <v>3006</v>
          </cell>
          <cell r="B152" t="str">
            <v>LOVING MUNICIPAL SCHOOLS</v>
          </cell>
        </row>
        <row r="153">
          <cell r="A153">
            <v>6019</v>
          </cell>
          <cell r="B153" t="str">
            <v>LOVINGTON MUNICIPAL SCHOOLS</v>
          </cell>
        </row>
        <row r="154">
          <cell r="A154">
            <v>12128</v>
          </cell>
          <cell r="B154" t="str">
            <v>LUNA COMMUNITY COLLEGE</v>
          </cell>
        </row>
        <row r="155">
          <cell r="A155">
            <v>3180</v>
          </cell>
          <cell r="B155" t="str">
            <v>LUNA COUNTY</v>
          </cell>
        </row>
        <row r="156">
          <cell r="A156">
            <v>25075</v>
          </cell>
          <cell r="B156" t="str">
            <v>MAGDALENA MUNICIPAL SCHOOLS</v>
          </cell>
        </row>
        <row r="157">
          <cell r="A157">
            <v>2311</v>
          </cell>
          <cell r="B157" t="str">
            <v>MARK ARMIJO ACADEMY</v>
          </cell>
        </row>
        <row r="158">
          <cell r="A158">
            <v>9028</v>
          </cell>
          <cell r="B158" t="str">
            <v>MAXWELL MUNICIPAL SCHOOLS</v>
          </cell>
        </row>
        <row r="159">
          <cell r="A159">
            <v>17424</v>
          </cell>
          <cell r="B159" t="str">
            <v>MCCURDY CHARTER SCHOOL</v>
          </cell>
        </row>
        <row r="160">
          <cell r="A160">
            <v>3200</v>
          </cell>
          <cell r="B160" t="str">
            <v>MCKINLEY COUNTY</v>
          </cell>
        </row>
        <row r="161">
          <cell r="A161">
            <v>2365</v>
          </cell>
          <cell r="B161" t="str">
            <v>MEDIA ARTS COLLABORATIVE CHARTER SCHOOL</v>
          </cell>
        </row>
        <row r="162">
          <cell r="A162">
            <v>5014</v>
          </cell>
          <cell r="B162" t="str">
            <v>MELROSE MUNICIPAL SCHOOLS</v>
          </cell>
        </row>
        <row r="163">
          <cell r="A163">
            <v>17127</v>
          </cell>
          <cell r="B163" t="str">
            <v>MESA VISTA SCHOOLS</v>
          </cell>
        </row>
        <row r="164">
          <cell r="A164">
            <v>10141</v>
          </cell>
          <cell r="B164" t="str">
            <v>MESALANDS COMMUNITY COLLEGE</v>
          </cell>
        </row>
        <row r="165">
          <cell r="A165">
            <v>13369</v>
          </cell>
          <cell r="B165" t="str">
            <v>MIDDLE COLLEGE HIGH SCHOOL</v>
          </cell>
        </row>
        <row r="166">
          <cell r="A166">
            <v>4570</v>
          </cell>
          <cell r="B166" t="str">
            <v>MID-REGION COUNCIL OF GOVERNMENTS</v>
          </cell>
        </row>
        <row r="167">
          <cell r="A167">
            <v>2425</v>
          </cell>
          <cell r="B167" t="str">
            <v>MISSION ACHIEVEMENT &amp; SUCCESS SCHOOL</v>
          </cell>
        </row>
        <row r="168">
          <cell r="A168">
            <v>1306</v>
          </cell>
          <cell r="B168" t="str">
            <v>MONTE DEL SOL CHARTER SCHOOL</v>
          </cell>
        </row>
        <row r="169">
          <cell r="A169">
            <v>2351</v>
          </cell>
          <cell r="B169" t="str">
            <v>MONTESSORI ELEMENTARY CHARTER SCHOOL</v>
          </cell>
        </row>
        <row r="170">
          <cell r="A170">
            <v>2334</v>
          </cell>
          <cell r="B170" t="str">
            <v>MONTESSORI OF THE RIO GRANDE CHARTER SCHOOL</v>
          </cell>
        </row>
        <row r="171">
          <cell r="A171">
            <v>30089</v>
          </cell>
          <cell r="B171" t="str">
            <v>MORA INDEPENDENT SCHOOLS</v>
          </cell>
        </row>
        <row r="172">
          <cell r="A172">
            <v>9324</v>
          </cell>
          <cell r="B172" t="str">
            <v>MORENO VALLEY CHARTER HIGH SCHOOL</v>
          </cell>
        </row>
        <row r="173">
          <cell r="A173">
            <v>22066</v>
          </cell>
          <cell r="B173" t="str">
            <v>MORIARTY-EDGEWOOD SCHOOL DISTRICT</v>
          </cell>
        </row>
        <row r="174">
          <cell r="A174">
            <v>16356</v>
          </cell>
          <cell r="B174" t="str">
            <v>MOSAIC ACADEMY CHARTER SCHOOL</v>
          </cell>
        </row>
        <row r="175">
          <cell r="A175">
            <v>31091</v>
          </cell>
          <cell r="B175" t="str">
            <v>MOSQUERO MUNICIPAL SCHOOLS</v>
          </cell>
        </row>
        <row r="176">
          <cell r="A176">
            <v>2342</v>
          </cell>
          <cell r="B176" t="str">
            <v>MOUNTAIN MAHOGANY COMMUNITY SCHOOL</v>
          </cell>
        </row>
        <row r="177">
          <cell r="A177">
            <v>22067</v>
          </cell>
          <cell r="B177" t="str">
            <v>MOUNTAINAIR PUBLIC SCHOOLS</v>
          </cell>
        </row>
        <row r="178">
          <cell r="A178">
            <v>32112</v>
          </cell>
          <cell r="B178" t="str">
            <v xml:space="preserve">NATIONAL EDUCATION ASSOCIATION - NEW MEXICO </v>
          </cell>
        </row>
        <row r="179">
          <cell r="A179">
            <v>2354</v>
          </cell>
          <cell r="B179" t="str">
            <v>NATIVE AMERICAN COMMUNITY ACADEMY</v>
          </cell>
        </row>
        <row r="180">
          <cell r="A180">
            <v>2148</v>
          </cell>
          <cell r="B180" t="str">
            <v>NEW MEXICO ACTIVITIES ASSOCIATION</v>
          </cell>
        </row>
        <row r="181">
          <cell r="A181">
            <v>1418</v>
          </cell>
          <cell r="B181" t="str">
            <v>NEW MEXICO CONNECTIONS ACADEMY</v>
          </cell>
        </row>
        <row r="182">
          <cell r="A182">
            <v>12102</v>
          </cell>
          <cell r="B182" t="str">
            <v>NEW MEXICO HIGHLANDS UNIVERSITY</v>
          </cell>
        </row>
        <row r="183">
          <cell r="A183">
            <v>2414</v>
          </cell>
          <cell r="B183" t="str">
            <v>NEW MEXICO INTERNATIONAL SCHOOL</v>
          </cell>
        </row>
        <row r="184">
          <cell r="A184">
            <v>6124</v>
          </cell>
          <cell r="B184" t="str">
            <v>NEW MEXICO JUNIOR COLLEGE</v>
          </cell>
        </row>
        <row r="185">
          <cell r="A185">
            <v>4097</v>
          </cell>
          <cell r="B185" t="str">
            <v>NEW MEXICO MILITARY INSTITUTE</v>
          </cell>
        </row>
        <row r="186">
          <cell r="A186">
            <v>1416</v>
          </cell>
          <cell r="B186" t="str">
            <v>NEW MEXICO SCHOOL FOR THE ARTS</v>
          </cell>
        </row>
        <row r="187">
          <cell r="A187">
            <v>1094</v>
          </cell>
          <cell r="B187" t="str">
            <v>NEW MEXICO SCHOOL FOR THE DEAF</v>
          </cell>
        </row>
        <row r="188">
          <cell r="A188">
            <v>32111</v>
          </cell>
          <cell r="B188" t="str">
            <v>NM SCHOOL FOR THE BLIND &amp; VISUAL IMPAIRED</v>
          </cell>
        </row>
        <row r="189">
          <cell r="A189">
            <v>2520</v>
          </cell>
          <cell r="B189" t="str">
            <v>NORTH CENTRAL NEW MEXICO ECONOMIC DEVELOPMENT DISTRICT</v>
          </cell>
        </row>
        <row r="190">
          <cell r="A190">
            <v>3450</v>
          </cell>
          <cell r="B190" t="str">
            <v>NORTH CENTRAL REGIONAL TRANSIT DISTRICT</v>
          </cell>
        </row>
        <row r="191">
          <cell r="A191">
            <v>4310</v>
          </cell>
          <cell r="B191" t="str">
            <v>NORTH CENTRAL SOLID WASTE AUTHORITY</v>
          </cell>
        </row>
        <row r="192">
          <cell r="A192">
            <v>2328</v>
          </cell>
          <cell r="B192" t="str">
            <v>NORTH VALLEY ACADEMY</v>
          </cell>
        </row>
        <row r="193">
          <cell r="A193">
            <v>12151</v>
          </cell>
          <cell r="B193" t="str">
            <v>NORTHEAST REGIONAL EDUCATION COOPERATIVE #4</v>
          </cell>
        </row>
        <row r="194">
          <cell r="A194">
            <v>32110</v>
          </cell>
          <cell r="B194" t="str">
            <v>NORTHERN NEW MEXICO COLLEGE</v>
          </cell>
        </row>
        <row r="195">
          <cell r="A195">
            <v>2870</v>
          </cell>
          <cell r="B195" t="str">
            <v>NORTHWEST NEW MEXICO REGIONAL SOLID WASTE AUTHORITY</v>
          </cell>
        </row>
        <row r="196">
          <cell r="A196">
            <v>29150</v>
          </cell>
          <cell r="B196" t="str">
            <v>NORTHWEST REGIONAL EDUCATION COOPERATIVE #2</v>
          </cell>
        </row>
        <row r="197">
          <cell r="A197">
            <v>32118</v>
          </cell>
          <cell r="B197" t="str">
            <v>PECOS CONNECTIONS ACADEMY</v>
          </cell>
        </row>
        <row r="198">
          <cell r="A198">
            <v>12039</v>
          </cell>
          <cell r="B198" t="str">
            <v>PECOS INDEPENDENT SCHOOLS</v>
          </cell>
        </row>
        <row r="199">
          <cell r="A199">
            <v>12150</v>
          </cell>
          <cell r="B199" t="str">
            <v>PECOS VALLEY REGIONAL EDUCATION COOPERATIVE #8</v>
          </cell>
        </row>
        <row r="200">
          <cell r="A200">
            <v>20060</v>
          </cell>
          <cell r="B200" t="str">
            <v>PENASCO INDEPENDENT SCHOOLS</v>
          </cell>
        </row>
        <row r="201">
          <cell r="A201">
            <v>1001</v>
          </cell>
          <cell r="B201" t="str">
            <v>POJOAQUE VALLEY SCHOOLS</v>
          </cell>
        </row>
        <row r="202">
          <cell r="A202">
            <v>11035</v>
          </cell>
          <cell r="B202" t="str">
            <v>PORTALES MUNICIPAL SCHOOLS</v>
          </cell>
        </row>
        <row r="203">
          <cell r="A203">
            <v>2320</v>
          </cell>
          <cell r="B203" t="str">
            <v>PUBLIC ACADEMY FOR THE PERFORMING ARTS</v>
          </cell>
        </row>
        <row r="204">
          <cell r="A204">
            <v>28084</v>
          </cell>
          <cell r="B204" t="str">
            <v xml:space="preserve">QUEMADO INDEPENDENT SCHOOL DISTRICT </v>
          </cell>
        </row>
        <row r="205">
          <cell r="A205">
            <v>20125</v>
          </cell>
          <cell r="B205" t="str">
            <v>QUESTA INDEPENDENT SCHOOLS</v>
          </cell>
        </row>
        <row r="206">
          <cell r="A206">
            <v>7445</v>
          </cell>
          <cell r="B206" t="str">
            <v>RAICES DEL SABER XINACHTLI COMMUNITY SCHOOL</v>
          </cell>
        </row>
        <row r="207">
          <cell r="A207">
            <v>9029</v>
          </cell>
          <cell r="B207" t="str">
            <v>RATON PUBLIC SCHOOLS</v>
          </cell>
        </row>
        <row r="208">
          <cell r="A208">
            <v>2580</v>
          </cell>
          <cell r="B208" t="str">
            <v>RATON PUBLIC SERVICE</v>
          </cell>
        </row>
        <row r="209">
          <cell r="A209">
            <v>20312</v>
          </cell>
          <cell r="B209" t="str">
            <v>RED RIVER VALLEY CHARTER SCHOOL</v>
          </cell>
        </row>
        <row r="210">
          <cell r="A210">
            <v>26150</v>
          </cell>
          <cell r="B210" t="str">
            <v>REGION IX EDUCATION COOPERATIVE</v>
          </cell>
        </row>
        <row r="211">
          <cell r="A211">
            <v>5016</v>
          </cell>
          <cell r="B211" t="str">
            <v>REGIONAL EDUCATION COOPERATIVE #6</v>
          </cell>
        </row>
        <row r="212">
          <cell r="A212">
            <v>6150</v>
          </cell>
          <cell r="B212" t="str">
            <v>REGIONAL EDUCATION COOPERATIVE VII</v>
          </cell>
        </row>
        <row r="213">
          <cell r="A213">
            <v>4480</v>
          </cell>
          <cell r="B213" t="str">
            <v>REGIONAL EMERGENCY DISPATCH AUTHORITY</v>
          </cell>
        </row>
        <row r="214">
          <cell r="A214">
            <v>28085</v>
          </cell>
          <cell r="B214" t="str">
            <v>RESERVE SCHOOL DISTRICT</v>
          </cell>
        </row>
        <row r="215">
          <cell r="A215">
            <v>3240</v>
          </cell>
          <cell r="B215" t="str">
            <v>RIO ARRIBA COUNTY</v>
          </cell>
        </row>
        <row r="216">
          <cell r="A216">
            <v>12326</v>
          </cell>
          <cell r="B216" t="str">
            <v>RIO GALLINAS CHARTER SCHOOL</v>
          </cell>
        </row>
        <row r="217">
          <cell r="A217">
            <v>2445</v>
          </cell>
          <cell r="B217" t="str">
            <v>RIO GRANDE ACADEMY OF FINE ARTS</v>
          </cell>
        </row>
        <row r="218">
          <cell r="A218">
            <v>29123</v>
          </cell>
          <cell r="B218" t="str">
            <v>RIO RANCHO PUBLIC SCHOOLS</v>
          </cell>
        </row>
        <row r="219">
          <cell r="A219">
            <v>2318</v>
          </cell>
          <cell r="B219" t="str">
            <v>ROBERT F. KENNEDY CHARTER SCHOOL</v>
          </cell>
        </row>
        <row r="220">
          <cell r="A220">
            <v>3250</v>
          </cell>
          <cell r="B220" t="str">
            <v>ROOSEVELT COUNTY</v>
          </cell>
        </row>
        <row r="221">
          <cell r="A221">
            <v>2313</v>
          </cell>
          <cell r="B221" t="str">
            <v>ROOTS AND WINGS COMMUNITY SCHOOL</v>
          </cell>
        </row>
        <row r="222">
          <cell r="A222">
            <v>4011</v>
          </cell>
          <cell r="B222" t="str">
            <v>ROSWELL INDEPENDENT SCHOOLS</v>
          </cell>
        </row>
        <row r="223">
          <cell r="A223">
            <v>31092</v>
          </cell>
          <cell r="B223" t="str">
            <v>ROY SCHOOLS</v>
          </cell>
        </row>
        <row r="224">
          <cell r="A224">
            <v>26081</v>
          </cell>
          <cell r="B224" t="str">
            <v>RUIDOSO MUNICIPAL SCHOOLS</v>
          </cell>
        </row>
        <row r="225">
          <cell r="A225">
            <v>29305</v>
          </cell>
          <cell r="B225" t="str">
            <v>SAN DIEGO RIVERSIDE CHARTER SCHOOL</v>
          </cell>
        </row>
        <row r="226">
          <cell r="A226">
            <v>10032</v>
          </cell>
          <cell r="B226" t="str">
            <v>SAN JON MUNICIPAL SCHOOLS</v>
          </cell>
        </row>
        <row r="227">
          <cell r="A227">
            <v>32107</v>
          </cell>
          <cell r="B227" t="str">
            <v>SAN JUAN COMMUNICATIONS</v>
          </cell>
        </row>
        <row r="228">
          <cell r="A228">
            <v>3260</v>
          </cell>
          <cell r="B228" t="str">
            <v>SAN JUAN COUNTY</v>
          </cell>
        </row>
        <row r="229">
          <cell r="A229">
            <v>4390</v>
          </cell>
          <cell r="B229" t="str">
            <v>SAN JUAN WATER COMMISSION</v>
          </cell>
        </row>
        <row r="230">
          <cell r="A230">
            <v>3270</v>
          </cell>
          <cell r="B230" t="str">
            <v>SAN MIGUEL COUNTY</v>
          </cell>
        </row>
        <row r="231">
          <cell r="A231">
            <v>29303</v>
          </cell>
          <cell r="B231" t="str">
            <v>SANDOVAL ACADEMY OF BILINGUAL EDUCATION</v>
          </cell>
        </row>
        <row r="232">
          <cell r="A232">
            <v>3280</v>
          </cell>
          <cell r="B232" t="str">
            <v>SANDOVAL COUNTY</v>
          </cell>
        </row>
        <row r="233">
          <cell r="A233">
            <v>4260</v>
          </cell>
          <cell r="B233" t="str">
            <v>SANTA FE CIVIC HOUSING AUTHORITY</v>
          </cell>
        </row>
        <row r="234">
          <cell r="A234">
            <v>1003</v>
          </cell>
          <cell r="B234" t="str">
            <v>SANTA FE COMMUNITY COLLEGE</v>
          </cell>
        </row>
        <row r="235">
          <cell r="A235">
            <v>3290</v>
          </cell>
          <cell r="B235" t="str">
            <v>SANTA FE COUNTY</v>
          </cell>
        </row>
        <row r="236">
          <cell r="A236">
            <v>1002</v>
          </cell>
          <cell r="B236" t="str">
            <v>SANTA FE PUBLIC SCHOOLS</v>
          </cell>
        </row>
        <row r="237">
          <cell r="A237">
            <v>4270</v>
          </cell>
          <cell r="B237" t="str">
            <v>SANTA FE SOLID WASTE MANAGEMENT AGENCY</v>
          </cell>
        </row>
        <row r="238">
          <cell r="A238">
            <v>24072</v>
          </cell>
          <cell r="B238" t="str">
            <v>SANTA ROSA CONSOLIDATED SCHOOLS</v>
          </cell>
        </row>
        <row r="239">
          <cell r="A239">
            <v>14366</v>
          </cell>
          <cell r="B239" t="str">
            <v>SCHOOL OF DREAMS ACADEMY</v>
          </cell>
        </row>
        <row r="240">
          <cell r="A240">
            <v>4317</v>
          </cell>
          <cell r="B240" t="str">
            <v>SIDNEY GUTIERREZ MIDDLE SCHOOL</v>
          </cell>
        </row>
        <row r="241">
          <cell r="A241">
            <v>32120</v>
          </cell>
          <cell r="B241" t="str">
            <v>SIEMBRA LEADERSHIP CHARTER SCHOOL</v>
          </cell>
        </row>
        <row r="242">
          <cell r="A242">
            <v>3300</v>
          </cell>
          <cell r="B242" t="str">
            <v xml:space="preserve">SIERRA COUNTY </v>
          </cell>
        </row>
        <row r="243">
          <cell r="A243">
            <v>8026</v>
          </cell>
          <cell r="B243" t="str">
            <v>SILVER CITY CONSOLIDATED SCHOOLS</v>
          </cell>
        </row>
        <row r="244">
          <cell r="A244">
            <v>32119</v>
          </cell>
          <cell r="B244" t="str">
            <v>SIX DIRECTIONS INDIGENOUS SCHOOL</v>
          </cell>
        </row>
        <row r="245">
          <cell r="A245">
            <v>25076</v>
          </cell>
          <cell r="B245" t="str">
            <v>SOCORRO CONSOLIDATED SCHOOLS</v>
          </cell>
        </row>
        <row r="246">
          <cell r="A246">
            <v>2440</v>
          </cell>
          <cell r="B246" t="str">
            <v>SOLARE COLLEGIATE CHARTER</v>
          </cell>
        </row>
        <row r="247">
          <cell r="A247">
            <v>2309</v>
          </cell>
          <cell r="B247" t="str">
            <v>SOUTH VALLEY ACADEMY</v>
          </cell>
        </row>
        <row r="248">
          <cell r="A248">
            <v>2396</v>
          </cell>
          <cell r="B248" t="str">
            <v>SOUTH VALLEY PREPARATORY SCHOOL</v>
          </cell>
        </row>
        <row r="249">
          <cell r="A249">
            <v>3380</v>
          </cell>
          <cell r="B249" t="str">
            <v xml:space="preserve">SOUTHERN SANDOVAL COUNTY ARROYO FLOOD CONTROL AUTHORITY </v>
          </cell>
        </row>
        <row r="250">
          <cell r="A250">
            <v>2420</v>
          </cell>
          <cell r="B250" t="str">
            <v>SOUTHWEST AERONAUTICS MATH &amp; SCIENCE ACADEMY</v>
          </cell>
        </row>
        <row r="251">
          <cell r="A251">
            <v>2740</v>
          </cell>
          <cell r="B251" t="str">
            <v>SOUTHWEST NEW MEXICO COUNCIL OF GOVERNMENTS</v>
          </cell>
        </row>
        <row r="252">
          <cell r="A252">
            <v>2346</v>
          </cell>
          <cell r="B252" t="str">
            <v>SOUTHWEST PRIMARY LEARNING CENTER</v>
          </cell>
        </row>
        <row r="253">
          <cell r="A253">
            <v>21150</v>
          </cell>
          <cell r="B253" t="str">
            <v>SOUTHWEST REGIONAL EDUCATION #10</v>
          </cell>
        </row>
        <row r="254">
          <cell r="A254">
            <v>32098</v>
          </cell>
          <cell r="B254" t="str">
            <v>SOUTHWEST SECONDARY LEARNING CENTER</v>
          </cell>
        </row>
        <row r="255">
          <cell r="A255">
            <v>4520</v>
          </cell>
          <cell r="B255" t="str">
            <v>SPRINGER HOUSING AUTHORITY</v>
          </cell>
        </row>
        <row r="256">
          <cell r="A256">
            <v>9030</v>
          </cell>
          <cell r="B256" t="str">
            <v>SPRINGER MUNICIPAL SCHOOLS</v>
          </cell>
        </row>
        <row r="257">
          <cell r="A257">
            <v>20265</v>
          </cell>
          <cell r="B257" t="str">
            <v>TAOS ACADEMY CHARTER SCHOOL</v>
          </cell>
        </row>
        <row r="258">
          <cell r="A258">
            <v>20307</v>
          </cell>
          <cell r="B258" t="str">
            <v>TAOS CHARTER SCHOOL</v>
          </cell>
        </row>
        <row r="259">
          <cell r="A259">
            <v>3320</v>
          </cell>
          <cell r="B259" t="str">
            <v>TAOS COUNTY</v>
          </cell>
        </row>
        <row r="260">
          <cell r="A260">
            <v>20415</v>
          </cell>
          <cell r="B260" t="str">
            <v>TAOS INTEGRATED SCHOOL OF THE ARTS</v>
          </cell>
        </row>
        <row r="261">
          <cell r="A261">
            <v>20435</v>
          </cell>
          <cell r="B261" t="str">
            <v>TAOS INTERNATIONAL SCHOOL</v>
          </cell>
        </row>
        <row r="262">
          <cell r="A262">
            <v>20062</v>
          </cell>
          <cell r="B262" t="str">
            <v>TAOS MUNICIPAL SCHOOLS</v>
          </cell>
        </row>
        <row r="263">
          <cell r="A263">
            <v>6020</v>
          </cell>
          <cell r="B263" t="str">
            <v>TATUM MUNICIPAL SCHOOLS</v>
          </cell>
        </row>
        <row r="264">
          <cell r="A264">
            <v>2394</v>
          </cell>
          <cell r="B264" t="str">
            <v>TECH LEADERSHIP HIGH SCHOOL</v>
          </cell>
        </row>
        <row r="265">
          <cell r="A265">
            <v>5015</v>
          </cell>
          <cell r="B265" t="str">
            <v>TEXICO MUNICIPAL SCHOOLS</v>
          </cell>
        </row>
        <row r="266">
          <cell r="A266">
            <v>29408</v>
          </cell>
          <cell r="B266" t="str">
            <v>THE ASK ACADEMY</v>
          </cell>
        </row>
        <row r="267">
          <cell r="A267">
            <v>2413</v>
          </cell>
          <cell r="B267" t="str">
            <v>THE GREAT ACADEMY</v>
          </cell>
        </row>
        <row r="268">
          <cell r="A268">
            <v>1398</v>
          </cell>
          <cell r="B268" t="str">
            <v>THE MASTERS PROGRAM</v>
          </cell>
        </row>
        <row r="269">
          <cell r="A269">
            <v>2366</v>
          </cell>
          <cell r="B269" t="str">
            <v>THE NEW AMERICA SCHOOL</v>
          </cell>
        </row>
        <row r="270">
          <cell r="A270">
            <v>7421</v>
          </cell>
          <cell r="B270" t="str">
            <v>THE NEW AMERICA SCHOOL - LAS CRUCES</v>
          </cell>
        </row>
        <row r="271">
          <cell r="A271">
            <v>1425</v>
          </cell>
          <cell r="B271" t="str">
            <v xml:space="preserve">THRIVE COMMUNITY SCHOOL </v>
          </cell>
        </row>
        <row r="272">
          <cell r="A272">
            <v>2370</v>
          </cell>
          <cell r="B272" t="str">
            <v>TIERRA ADENTRO OF NEW MEXICO</v>
          </cell>
        </row>
        <row r="273">
          <cell r="A273">
            <v>32094</v>
          </cell>
          <cell r="B273" t="str">
            <v>TIERRA ENCANTADA CHARTER HIGH SCHOOL</v>
          </cell>
        </row>
        <row r="274">
          <cell r="A274">
            <v>2790</v>
          </cell>
          <cell r="B274" t="str">
            <v>TIERRA Y MONTES SOIL AND WATER CONSERVATION DISTRICT</v>
          </cell>
        </row>
        <row r="275">
          <cell r="A275">
            <v>3330</v>
          </cell>
          <cell r="B275" t="str">
            <v>TORRANCE COUNTY</v>
          </cell>
        </row>
        <row r="276">
          <cell r="A276">
            <v>2080</v>
          </cell>
          <cell r="B276" t="str">
            <v>TOWN OF BERNALILLO</v>
          </cell>
        </row>
        <row r="277">
          <cell r="A277">
            <v>4290</v>
          </cell>
          <cell r="B277" t="str">
            <v>TOWN OF EDGEWOOD</v>
          </cell>
        </row>
        <row r="278">
          <cell r="A278">
            <v>2270</v>
          </cell>
          <cell r="B278" t="str">
            <v>TOWN OF ELIDA</v>
          </cell>
        </row>
        <row r="279">
          <cell r="A279">
            <v>2300</v>
          </cell>
          <cell r="B279" t="str">
            <v>TOWN OF ESTANCIA</v>
          </cell>
        </row>
        <row r="280">
          <cell r="A280">
            <v>2720</v>
          </cell>
          <cell r="B280" t="str">
            <v>TOWN OF SILVER CITY</v>
          </cell>
        </row>
        <row r="281">
          <cell r="A281">
            <v>2750</v>
          </cell>
          <cell r="B281" t="str">
            <v>TOWN OF SPRINGER</v>
          </cell>
        </row>
        <row r="282">
          <cell r="A282">
            <v>2770</v>
          </cell>
          <cell r="B282" t="str">
            <v>TOWN OF TAOS</v>
          </cell>
        </row>
        <row r="283">
          <cell r="A283">
            <v>32106</v>
          </cell>
          <cell r="B283" t="str">
            <v>TOWN OF TATUM</v>
          </cell>
        </row>
        <row r="284">
          <cell r="A284">
            <v>4180</v>
          </cell>
          <cell r="B284" t="str">
            <v>TRUTH OR CONSEQUENCES HOUSING AUTHORITY</v>
          </cell>
        </row>
        <row r="285">
          <cell r="A285">
            <v>21063</v>
          </cell>
          <cell r="B285" t="str">
            <v>TRUTH OR CONSEQUENCES MUNICIPAL SCHOOLS</v>
          </cell>
        </row>
        <row r="286">
          <cell r="A286">
            <v>10033</v>
          </cell>
          <cell r="B286" t="str">
            <v>TUCUMCARI PUBLIC SCHOOLS</v>
          </cell>
        </row>
        <row r="287">
          <cell r="A287">
            <v>15049</v>
          </cell>
          <cell r="B287" t="str">
            <v>TULAROSA MUNICIPAL SCHOOLS</v>
          </cell>
        </row>
        <row r="288">
          <cell r="A288">
            <v>1315</v>
          </cell>
          <cell r="B288" t="str">
            <v>TURQUOISE TRAIL CHARTER SCHOOL</v>
          </cell>
        </row>
        <row r="289">
          <cell r="A289">
            <v>3340</v>
          </cell>
          <cell r="B289" t="str">
            <v>UNION COUNTY</v>
          </cell>
        </row>
        <row r="290">
          <cell r="A290">
            <v>3350</v>
          </cell>
          <cell r="B290" t="str">
            <v>VALENCIA COUNTY</v>
          </cell>
        </row>
        <row r="291">
          <cell r="A291">
            <v>24073</v>
          </cell>
          <cell r="B291" t="str">
            <v>VAUGHN MUNICIPAL SCHOOLS</v>
          </cell>
        </row>
        <row r="292">
          <cell r="A292">
            <v>2100</v>
          </cell>
          <cell r="B292" t="str">
            <v>VILLAGE OF BOSQUE FARMS</v>
          </cell>
        </row>
        <row r="293">
          <cell r="A293">
            <v>2130</v>
          </cell>
          <cell r="B293" t="str">
            <v>VILLAGE OF CHAMA</v>
          </cell>
        </row>
        <row r="294">
          <cell r="A294">
            <v>32099</v>
          </cell>
          <cell r="B294" t="str">
            <v>VILLAGE OF FT SUMNER</v>
          </cell>
        </row>
        <row r="295">
          <cell r="A295">
            <v>32100</v>
          </cell>
          <cell r="B295" t="str">
            <v>VILLAGE OF HATCH</v>
          </cell>
        </row>
        <row r="296">
          <cell r="A296">
            <v>32101</v>
          </cell>
          <cell r="B296" t="str">
            <v xml:space="preserve">VILLAGE OF JEMEZ SPRINGS </v>
          </cell>
        </row>
        <row r="297">
          <cell r="A297">
            <v>32102</v>
          </cell>
          <cell r="B297" t="str">
            <v>VILLAGE OF LOGAN</v>
          </cell>
        </row>
        <row r="298">
          <cell r="A298">
            <v>2880</v>
          </cell>
          <cell r="B298" t="str">
            <v>VILLAGE OF MELROSE</v>
          </cell>
        </row>
        <row r="299">
          <cell r="A299">
            <v>2490</v>
          </cell>
          <cell r="B299" t="str">
            <v>VILLAGE OF MILAN</v>
          </cell>
        </row>
        <row r="300">
          <cell r="A300">
            <v>2530</v>
          </cell>
          <cell r="B300" t="str">
            <v>VILLAGE OF PECOS</v>
          </cell>
        </row>
        <row r="301">
          <cell r="A301">
            <v>2560</v>
          </cell>
          <cell r="B301" t="str">
            <v>VILLAGE OF QUESTA</v>
          </cell>
        </row>
        <row r="302">
          <cell r="A302">
            <v>2610</v>
          </cell>
          <cell r="B302" t="str">
            <v>VILLAGE OF RESERVE</v>
          </cell>
        </row>
        <row r="303">
          <cell r="A303">
            <v>2800</v>
          </cell>
          <cell r="B303" t="str">
            <v>VILLAGE OF TIJERAS</v>
          </cell>
        </row>
        <row r="304">
          <cell r="A304">
            <v>20317</v>
          </cell>
          <cell r="B304" t="str">
            <v>VISTA GRANDE CHARTER HIGH SCHOOL</v>
          </cell>
        </row>
        <row r="305">
          <cell r="A305">
            <v>2442</v>
          </cell>
          <cell r="B305" t="str">
            <v>VOZ COLLEGIATE PREP</v>
          </cell>
        </row>
        <row r="306">
          <cell r="A306">
            <v>30090</v>
          </cell>
          <cell r="B306" t="str">
            <v>WAGON MOUND PUBLIC SCHOOLS</v>
          </cell>
        </row>
        <row r="307">
          <cell r="A307">
            <v>29330</v>
          </cell>
          <cell r="B307" t="str">
            <v>WALATOWA CHARTER HIGH SCHOOL</v>
          </cell>
        </row>
        <row r="308">
          <cell r="A308">
            <v>12038</v>
          </cell>
          <cell r="B308" t="str">
            <v>WEST LAS VEGAS PUBLIC SCHOOLS</v>
          </cell>
        </row>
        <row r="309">
          <cell r="A309">
            <v>8099</v>
          </cell>
          <cell r="B309" t="str">
            <v>WESTERN NEW MEXICO UNIVERSITY</v>
          </cell>
        </row>
        <row r="310">
          <cell r="A310">
            <v>2417</v>
          </cell>
          <cell r="B310" t="str">
            <v>WILLIAM W. &amp; JOSEPHINE DORN CHARTER SCHOOL</v>
          </cell>
        </row>
        <row r="311">
          <cell r="A311">
            <v>13142</v>
          </cell>
          <cell r="B311" t="str">
            <v>ZUNI PUBLIC SCHOOLS</v>
          </cell>
        </row>
      </sheetData>
      <sheetData sheetId="7"/>
      <sheetData sheetId="8">
        <row r="10">
          <cell r="A10">
            <v>1341</v>
          </cell>
        </row>
      </sheetData>
      <sheetData sheetId="9">
        <row r="6">
          <cell r="D6" t="str">
            <v>Deferred Outflows of Resources</v>
          </cell>
        </row>
      </sheetData>
      <sheetData sheetId="10">
        <row r="10">
          <cell r="A10">
            <v>1341</v>
          </cell>
        </row>
      </sheetData>
      <sheetData sheetId="11">
        <row r="5">
          <cell r="A5" t="str">
            <v>Employer Code</v>
          </cell>
        </row>
      </sheetData>
      <sheetData sheetId="12">
        <row r="8">
          <cell r="A8">
            <v>1341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r Template"/>
      <sheetName val="Test #1"/>
      <sheetName val="Test # 2"/>
      <sheetName val="Test # 3"/>
      <sheetName val="Test # 4"/>
      <sheetName val="Test # 5"/>
      <sheetName val="PY_OPEB Amounts"/>
      <sheetName val="Contribution Allocation_Report"/>
      <sheetName val="Acerno_Cache_XXXXX"/>
      <sheetName val="OPEB Amounts_Report"/>
      <sheetName val="Amortization Tables_Report"/>
      <sheetName val="Discount Rate Sensitivity"/>
      <sheetName val="Trend Rate Sensitivity"/>
      <sheetName val="Change in Proportion Layers"/>
      <sheetName val="Change in Proportion Calc"/>
      <sheetName val="Contributions_20"/>
      <sheetName val="Note 3a"/>
      <sheetName val="Notes 3b"/>
      <sheetName val="Notes 3c"/>
      <sheetName val="Note 3d"/>
      <sheetName val="Note 5"/>
      <sheetName val="Note 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A9">
            <v>1341</v>
          </cell>
          <cell r="B9" t="str">
            <v>STATE OF NEW MEXICO</v>
          </cell>
          <cell r="C9">
            <v>23299691</v>
          </cell>
          <cell r="D9">
            <v>0.24123510000000001</v>
          </cell>
        </row>
        <row r="10">
          <cell r="A10">
            <v>2308</v>
          </cell>
          <cell r="B10" t="str">
            <v>21ST CENTURY PUBLIC ACADEMY</v>
          </cell>
          <cell r="C10">
            <v>36334</v>
          </cell>
          <cell r="D10">
            <v>3.7619999999999998E-4</v>
          </cell>
        </row>
        <row r="11">
          <cell r="A11">
            <v>2340</v>
          </cell>
          <cell r="B11" t="str">
            <v>ABQ CHARTER ACADEMY</v>
          </cell>
          <cell r="C11">
            <v>39094</v>
          </cell>
          <cell r="D11">
            <v>4.0479999999999997E-4</v>
          </cell>
        </row>
        <row r="12">
          <cell r="A12">
            <v>1301</v>
          </cell>
          <cell r="B12" t="str">
            <v>ACADEMY FOR TECHNOLOGY &amp; THE CLASSICS</v>
          </cell>
          <cell r="C12">
            <v>46164</v>
          </cell>
          <cell r="D12">
            <v>4.7800000000000002E-4</v>
          </cell>
        </row>
        <row r="13">
          <cell r="A13">
            <v>2390</v>
          </cell>
          <cell r="B13" t="str">
            <v>ACE LEADERSHIP</v>
          </cell>
          <cell r="C13">
            <v>31243</v>
          </cell>
          <cell r="D13">
            <v>3.235E-4</v>
          </cell>
        </row>
        <row r="14">
          <cell r="A14">
            <v>2441</v>
          </cell>
          <cell r="B14" t="str">
            <v>ACES TECHNICAL CHARTER SCHOOL</v>
          </cell>
          <cell r="C14">
            <v>7814</v>
          </cell>
          <cell r="D14">
            <v>8.0900000000000001E-5</v>
          </cell>
        </row>
        <row r="15">
          <cell r="A15">
            <v>15046</v>
          </cell>
          <cell r="B15" t="str">
            <v>ALAMOGORDO PUBLIC SCHOOLS</v>
          </cell>
          <cell r="C15">
            <v>678882</v>
          </cell>
          <cell r="D15">
            <v>7.0288E-3</v>
          </cell>
        </row>
        <row r="16">
          <cell r="A16">
            <v>4380</v>
          </cell>
          <cell r="B16" t="str">
            <v>ALBUQUERQUE BERNALILLO COUNTY WATER UTILITY AUTHORITY</v>
          </cell>
          <cell r="C16">
            <v>699966</v>
          </cell>
          <cell r="D16">
            <v>7.2471000000000002E-3</v>
          </cell>
        </row>
        <row r="17">
          <cell r="A17">
            <v>2343</v>
          </cell>
          <cell r="B17" t="str">
            <v>ALBUQUERQUE BILINGUAL ACADEMY</v>
          </cell>
          <cell r="C17">
            <v>45118</v>
          </cell>
          <cell r="D17">
            <v>4.6710000000000002E-4</v>
          </cell>
        </row>
        <row r="18">
          <cell r="A18">
            <v>2435</v>
          </cell>
          <cell r="B18" t="str">
            <v>ALBUQUERQUE COLLEGIATE</v>
          </cell>
          <cell r="C18">
            <v>13759</v>
          </cell>
          <cell r="D18">
            <v>1.4249999999999999E-4</v>
          </cell>
        </row>
        <row r="19">
          <cell r="A19">
            <v>4560</v>
          </cell>
          <cell r="B19" t="str">
            <v>ALBUQUERQUE HOUSING AUTHORITY</v>
          </cell>
          <cell r="C19">
            <v>60924</v>
          </cell>
          <cell r="D19">
            <v>6.3080000000000005E-4</v>
          </cell>
        </row>
        <row r="20">
          <cell r="A20">
            <v>2341</v>
          </cell>
          <cell r="B20" t="str">
            <v xml:space="preserve">ALBUQUERQUE INSTITUTE FOR MATHEMATICS AND SCIENCE </v>
          </cell>
          <cell r="C20">
            <v>35773</v>
          </cell>
          <cell r="D20">
            <v>3.704E-4</v>
          </cell>
        </row>
        <row r="21">
          <cell r="A21">
            <v>4580</v>
          </cell>
          <cell r="B21" t="str">
            <v>ALBUQUERQUE METROPOLITAN ARROYO FLOOD CONTROL AUTHORITY</v>
          </cell>
          <cell r="C21">
            <v>29997</v>
          </cell>
          <cell r="D21">
            <v>3.1060000000000001E-4</v>
          </cell>
        </row>
        <row r="22">
          <cell r="A22">
            <v>2003</v>
          </cell>
          <cell r="B22" t="str">
            <v>ALBUQUERQUE PUBLIC SCHOOLS</v>
          </cell>
          <cell r="C22">
            <v>10930498</v>
          </cell>
          <cell r="D22">
            <v>0.1131696</v>
          </cell>
        </row>
        <row r="23">
          <cell r="A23">
            <v>2412</v>
          </cell>
          <cell r="B23" t="str">
            <v>ALBUQUERQUE SCHOOL OF EXCELLENCE</v>
          </cell>
          <cell r="C23">
            <v>86415</v>
          </cell>
          <cell r="D23">
            <v>8.9470000000000001E-4</v>
          </cell>
        </row>
        <row r="24">
          <cell r="A24">
            <v>2402</v>
          </cell>
          <cell r="B24" t="str">
            <v>ALBUQUERQUE SIGN LANGUAGE ACADEMY</v>
          </cell>
          <cell r="C24">
            <v>30918</v>
          </cell>
          <cell r="D24">
            <v>3.2009999999999997E-4</v>
          </cell>
        </row>
        <row r="25">
          <cell r="A25">
            <v>2361</v>
          </cell>
          <cell r="B25" t="str">
            <v>ALBUQUERQUE TALENT DEVELOPMENT SECONDARY CHARTER SCHOOL</v>
          </cell>
          <cell r="C25">
            <v>19881</v>
          </cell>
          <cell r="D25">
            <v>2.0579999999999999E-4</v>
          </cell>
        </row>
        <row r="26">
          <cell r="A26">
            <v>8347</v>
          </cell>
          <cell r="B26" t="str">
            <v>ALDO LEOPOLD CHARTER SCHOOL</v>
          </cell>
          <cell r="C26">
            <v>28941</v>
          </cell>
          <cell r="D26">
            <v>2.9960000000000002E-4</v>
          </cell>
        </row>
        <row r="27">
          <cell r="A27">
            <v>2356</v>
          </cell>
          <cell r="B27" t="str">
            <v>ALICE KING COMMUNITY SCHOOL</v>
          </cell>
          <cell r="C27">
            <v>55057</v>
          </cell>
          <cell r="D27">
            <v>5.6999999999999998E-4</v>
          </cell>
        </row>
        <row r="28">
          <cell r="A28">
            <v>7335</v>
          </cell>
          <cell r="B28" t="str">
            <v>ALMA D' ARTE CHARTER HIGH</v>
          </cell>
          <cell r="C28">
            <v>20789</v>
          </cell>
          <cell r="D28">
            <v>2.152E-4</v>
          </cell>
        </row>
        <row r="29">
          <cell r="A29">
            <v>575</v>
          </cell>
          <cell r="B29" t="str">
            <v>ALTURA PREP</v>
          </cell>
          <cell r="C29">
            <v>16997</v>
          </cell>
          <cell r="D29">
            <v>1.76E-4</v>
          </cell>
        </row>
        <row r="30">
          <cell r="A30">
            <v>2303</v>
          </cell>
          <cell r="B30" t="str">
            <v>AMY BIEHL CHARTER SCHOOL</v>
          </cell>
          <cell r="C30">
            <v>42780</v>
          </cell>
          <cell r="D30">
            <v>4.4289999999999998E-4</v>
          </cell>
        </row>
        <row r="31">
          <cell r="A31">
            <v>20316</v>
          </cell>
          <cell r="B31" t="str">
            <v>ANANSI CHARTER SCHOOL</v>
          </cell>
          <cell r="C31">
            <v>22204</v>
          </cell>
          <cell r="D31">
            <v>2.299E-4</v>
          </cell>
        </row>
        <row r="32">
          <cell r="A32">
            <v>23121</v>
          </cell>
          <cell r="B32" t="str">
            <v>ANIMAS PUBLIC SCHOOLS</v>
          </cell>
          <cell r="C32">
            <v>27064</v>
          </cell>
          <cell r="D32">
            <v>2.8019999999999998E-4</v>
          </cell>
        </row>
        <row r="33">
          <cell r="A33">
            <v>3004</v>
          </cell>
          <cell r="B33" t="str">
            <v>ARTESIA PUBLIC SCHOOLS</v>
          </cell>
          <cell r="C33">
            <v>476812</v>
          </cell>
          <cell r="D33">
            <v>4.9366999999999996E-3</v>
          </cell>
        </row>
        <row r="34">
          <cell r="A34">
            <v>16050</v>
          </cell>
          <cell r="B34" t="str">
            <v>AZTEC MUNICIPAL SCHOOLS</v>
          </cell>
          <cell r="C34">
            <v>325424</v>
          </cell>
          <cell r="D34">
            <v>3.3693E-3</v>
          </cell>
        </row>
        <row r="35">
          <cell r="A35">
            <v>14043</v>
          </cell>
          <cell r="B35" t="str">
            <v>BELEN CONSOLIDATED SCHOOLS</v>
          </cell>
          <cell r="C35">
            <v>448683</v>
          </cell>
          <cell r="D35">
            <v>4.6455000000000003E-3</v>
          </cell>
        </row>
        <row r="36">
          <cell r="A36">
            <v>3010</v>
          </cell>
          <cell r="B36" t="str">
            <v>BERNALILLO COUNTY</v>
          </cell>
          <cell r="C36">
            <v>2812369</v>
          </cell>
          <cell r="D36">
            <v>2.9118000000000002E-2</v>
          </cell>
        </row>
        <row r="37">
          <cell r="A37">
            <v>29086</v>
          </cell>
          <cell r="B37" t="str">
            <v>BERNALILLO PUBLIC SCHOOLS</v>
          </cell>
          <cell r="C37">
            <v>420180</v>
          </cell>
          <cell r="D37">
            <v>4.3503999999999999E-3</v>
          </cell>
        </row>
        <row r="38">
          <cell r="A38">
            <v>16051</v>
          </cell>
          <cell r="B38" t="str">
            <v>BLOOMFIELD MUNICIPAL SCHOOLS</v>
          </cell>
          <cell r="C38">
            <v>365837</v>
          </cell>
          <cell r="D38">
            <v>3.7877000000000002E-3</v>
          </cell>
        </row>
        <row r="39">
          <cell r="A39">
            <v>26077</v>
          </cell>
          <cell r="B39" t="str">
            <v>CAPITAN MUNICIPAL SCHOOLS</v>
          </cell>
          <cell r="C39">
            <v>68570</v>
          </cell>
          <cell r="D39">
            <v>7.0989999999999996E-4</v>
          </cell>
        </row>
        <row r="40">
          <cell r="A40">
            <v>3005</v>
          </cell>
          <cell r="B40" t="str">
            <v>CARLSBAD MUNICIPAL SCHOOLS</v>
          </cell>
          <cell r="C40">
            <v>799952</v>
          </cell>
          <cell r="D40">
            <v>8.2824000000000005E-3</v>
          </cell>
        </row>
        <row r="41">
          <cell r="A41">
            <v>26078</v>
          </cell>
          <cell r="B41" t="str">
            <v>CARRIZOZO MUNICIPAL SCHOOLS</v>
          </cell>
          <cell r="C41">
            <v>29793</v>
          </cell>
          <cell r="D41">
            <v>3.0850000000000002E-4</v>
          </cell>
        </row>
        <row r="42">
          <cell r="A42">
            <v>16053</v>
          </cell>
          <cell r="B42" t="str">
            <v>CENTRAL CONSOLIDATED SCHOOL DISTRICT #22</v>
          </cell>
          <cell r="C42">
            <v>893309</v>
          </cell>
          <cell r="D42">
            <v>9.2488999999999991E-3</v>
          </cell>
        </row>
        <row r="43">
          <cell r="A43">
            <v>2123</v>
          </cell>
          <cell r="B43" t="str">
            <v>CENTRAL NEW MEXICO COMMUNITY COLLEGE</v>
          </cell>
          <cell r="C43">
            <v>1604019</v>
          </cell>
          <cell r="D43">
            <v>1.6607299999999998E-2</v>
          </cell>
        </row>
        <row r="44">
          <cell r="A44">
            <v>2150</v>
          </cell>
          <cell r="B44" t="str">
            <v>CENTRAL REGION EDUCATION COOPERATIVE</v>
          </cell>
          <cell r="C44">
            <v>77571</v>
          </cell>
          <cell r="D44">
            <v>8.0309999999999995E-4</v>
          </cell>
        </row>
        <row r="45">
          <cell r="A45">
            <v>2336</v>
          </cell>
          <cell r="B45" t="str">
            <v>CESAR CHAVEZ COMMUNITY CHARTER SCHOOL</v>
          </cell>
          <cell r="C45">
            <v>22852</v>
          </cell>
          <cell r="D45">
            <v>2.366E-4</v>
          </cell>
        </row>
        <row r="46">
          <cell r="A46">
            <v>17126</v>
          </cell>
          <cell r="B46" t="str">
            <v>CHAMA VALLEY INDEPENDENT SCHOOLS</v>
          </cell>
          <cell r="C46">
            <v>65510</v>
          </cell>
          <cell r="D46">
            <v>6.7829999999999995E-4</v>
          </cell>
        </row>
        <row r="47">
          <cell r="A47">
            <v>3030</v>
          </cell>
          <cell r="B47" t="str">
            <v>CHAVES COUNTY</v>
          </cell>
          <cell r="C47">
            <v>205289</v>
          </cell>
          <cell r="D47">
            <v>2.1254999999999998E-3</v>
          </cell>
        </row>
        <row r="48">
          <cell r="A48">
            <v>2353</v>
          </cell>
          <cell r="B48" t="str">
            <v>CHRISTINE DUNCAN'S HERITAGE ACADEMY</v>
          </cell>
          <cell r="C48">
            <v>40702</v>
          </cell>
          <cell r="D48">
            <v>4.214E-4</v>
          </cell>
        </row>
        <row r="49">
          <cell r="A49">
            <v>3040</v>
          </cell>
          <cell r="B49" t="str">
            <v>CIBOLA COUNTY</v>
          </cell>
          <cell r="C49">
            <v>72107</v>
          </cell>
          <cell r="D49">
            <v>7.4660000000000004E-4</v>
          </cell>
        </row>
        <row r="50">
          <cell r="A50">
            <v>2367</v>
          </cell>
          <cell r="B50" t="str">
            <v>CIEN AGUAS INTERNATIONAL CHARTER SCHOOL</v>
          </cell>
          <cell r="C50">
            <v>48952</v>
          </cell>
          <cell r="D50">
            <v>5.0679999999999996E-4</v>
          </cell>
        </row>
        <row r="51">
          <cell r="A51">
            <v>9027</v>
          </cell>
          <cell r="B51" t="str">
            <v>CIMARRON MUNICIPAL SCHOOLS</v>
          </cell>
          <cell r="C51">
            <v>71725</v>
          </cell>
          <cell r="D51">
            <v>7.4260000000000005E-4</v>
          </cell>
        </row>
        <row r="52">
          <cell r="A52">
            <v>2010</v>
          </cell>
          <cell r="B52" t="str">
            <v>CITY OF ALAMOGORDO</v>
          </cell>
          <cell r="C52">
            <v>258621</v>
          </cell>
          <cell r="D52">
            <v>2.6776E-3</v>
          </cell>
        </row>
        <row r="53">
          <cell r="A53">
            <v>2020</v>
          </cell>
          <cell r="B53" t="str">
            <v>CITY OF ALBUQUERQUE</v>
          </cell>
          <cell r="C53">
            <v>6688271</v>
          </cell>
          <cell r="D53">
            <v>6.9247400000000001E-2</v>
          </cell>
        </row>
        <row r="54">
          <cell r="A54">
            <v>2040</v>
          </cell>
          <cell r="B54" t="str">
            <v>CITY OF AZTEC</v>
          </cell>
          <cell r="C54">
            <v>85486</v>
          </cell>
          <cell r="D54">
            <v>8.8509999999999999E-4</v>
          </cell>
        </row>
        <row r="55">
          <cell r="A55">
            <v>2060</v>
          </cell>
          <cell r="B55" t="str">
            <v>CITY OF BELEN</v>
          </cell>
          <cell r="C55">
            <v>90732</v>
          </cell>
          <cell r="D55">
            <v>9.3939999999999996E-4</v>
          </cell>
        </row>
        <row r="56">
          <cell r="A56">
            <v>2090</v>
          </cell>
          <cell r="B56" t="str">
            <v>CITY OF BLOOMFIELD</v>
          </cell>
          <cell r="C56">
            <v>70068</v>
          </cell>
          <cell r="D56">
            <v>7.2550000000000002E-4</v>
          </cell>
        </row>
        <row r="57">
          <cell r="A57">
            <v>2110</v>
          </cell>
          <cell r="B57" t="str">
            <v>CITY OF CARLSBAD</v>
          </cell>
          <cell r="C57">
            <v>596987</v>
          </cell>
          <cell r="D57">
            <v>6.1808999999999996E-3</v>
          </cell>
        </row>
        <row r="58">
          <cell r="A58">
            <v>2180</v>
          </cell>
          <cell r="B58" t="str">
            <v>CITY OF CLOVIS</v>
          </cell>
          <cell r="C58">
            <v>277689</v>
          </cell>
          <cell r="D58">
            <v>2.8750999999999998E-3</v>
          </cell>
        </row>
        <row r="59">
          <cell r="A59">
            <v>2210</v>
          </cell>
          <cell r="B59" t="str">
            <v>CITY OF DEMING</v>
          </cell>
          <cell r="C59">
            <v>132101</v>
          </cell>
          <cell r="D59">
            <v>1.3676999999999999E-3</v>
          </cell>
        </row>
        <row r="60">
          <cell r="A60">
            <v>2290</v>
          </cell>
          <cell r="B60" t="str">
            <v>CITY OF ESPANOLA</v>
          </cell>
          <cell r="C60">
            <v>129820</v>
          </cell>
          <cell r="D60">
            <v>1.3441E-3</v>
          </cell>
        </row>
        <row r="61">
          <cell r="A61">
            <v>2310</v>
          </cell>
          <cell r="B61" t="str">
            <v>CITY OF FARMINGTON</v>
          </cell>
          <cell r="C61">
            <v>911565</v>
          </cell>
          <cell r="D61">
            <v>9.4379000000000008E-3</v>
          </cell>
        </row>
        <row r="62">
          <cell r="A62">
            <v>2330</v>
          </cell>
          <cell r="B62" t="str">
            <v>CITY OF GALLUP</v>
          </cell>
          <cell r="C62">
            <v>306200</v>
          </cell>
          <cell r="D62">
            <v>3.1703E-3</v>
          </cell>
        </row>
        <row r="63">
          <cell r="A63">
            <v>2380</v>
          </cell>
          <cell r="B63" t="str">
            <v>CITY OF JAL</v>
          </cell>
          <cell r="C63">
            <v>44896</v>
          </cell>
          <cell r="D63">
            <v>4.6480000000000002E-4</v>
          </cell>
        </row>
        <row r="64">
          <cell r="A64">
            <v>2400</v>
          </cell>
          <cell r="B64" t="str">
            <v>CITY OF LAS CRUCES</v>
          </cell>
          <cell r="C64">
            <v>1555097</v>
          </cell>
          <cell r="D64">
            <v>1.6100799999999998E-2</v>
          </cell>
        </row>
        <row r="65">
          <cell r="A65">
            <v>2410</v>
          </cell>
          <cell r="B65" t="str">
            <v>CITY OF LAS VEGAS</v>
          </cell>
          <cell r="C65">
            <v>189598</v>
          </cell>
          <cell r="D65">
            <v>1.9629999999999999E-3</v>
          </cell>
        </row>
        <row r="66">
          <cell r="A66">
            <v>2500</v>
          </cell>
          <cell r="B66" t="str">
            <v>CITY OF MORIARTY</v>
          </cell>
          <cell r="C66">
            <v>27556</v>
          </cell>
          <cell r="D66">
            <v>2.853E-4</v>
          </cell>
        </row>
        <row r="67">
          <cell r="A67">
            <v>2550</v>
          </cell>
          <cell r="B67" t="str">
            <v>CITY OF PORTALES</v>
          </cell>
          <cell r="C67">
            <v>114042</v>
          </cell>
          <cell r="D67">
            <v>1.1807E-3</v>
          </cell>
        </row>
        <row r="68">
          <cell r="A68">
            <v>2570</v>
          </cell>
          <cell r="B68" t="str">
            <v>CITY OF RATON</v>
          </cell>
          <cell r="C68">
            <v>72990</v>
          </cell>
          <cell r="D68">
            <v>7.5569999999999999E-4</v>
          </cell>
        </row>
        <row r="69">
          <cell r="A69">
            <v>2620</v>
          </cell>
          <cell r="B69" t="str">
            <v>CITY OF RIO RANCHO</v>
          </cell>
          <cell r="C69">
            <v>684377</v>
          </cell>
          <cell r="D69">
            <v>7.0857000000000003E-3</v>
          </cell>
        </row>
        <row r="70">
          <cell r="A70">
            <v>2630</v>
          </cell>
          <cell r="B70" t="str">
            <v>CITY OF ROSWELL</v>
          </cell>
          <cell r="C70">
            <v>526608</v>
          </cell>
          <cell r="D70">
            <v>5.4523000000000002E-3</v>
          </cell>
        </row>
        <row r="71">
          <cell r="A71">
            <v>2690</v>
          </cell>
          <cell r="B71" t="str">
            <v>CITY OF SANTA FE</v>
          </cell>
          <cell r="C71">
            <v>1317162</v>
          </cell>
          <cell r="D71">
            <v>1.36373E-2</v>
          </cell>
        </row>
        <row r="72">
          <cell r="A72">
            <v>2710</v>
          </cell>
          <cell r="B72" t="str">
            <v>CITY OF SANTA ROSA</v>
          </cell>
          <cell r="C72">
            <v>23597</v>
          </cell>
          <cell r="D72">
            <v>2.4429999999999998E-4</v>
          </cell>
        </row>
        <row r="73">
          <cell r="A73">
            <v>2730</v>
          </cell>
          <cell r="B73" t="str">
            <v>CITY OF SOCORRO</v>
          </cell>
          <cell r="C73">
            <v>97152</v>
          </cell>
          <cell r="D73">
            <v>1.0058999999999999E-3</v>
          </cell>
        </row>
        <row r="74">
          <cell r="A74">
            <v>2950</v>
          </cell>
          <cell r="B74" t="str">
            <v>CITY OF SUNLAND PARK</v>
          </cell>
          <cell r="C74">
            <v>82285</v>
          </cell>
          <cell r="D74">
            <v>8.5190000000000005E-4</v>
          </cell>
        </row>
        <row r="75">
          <cell r="A75">
            <v>2760</v>
          </cell>
          <cell r="B75" t="str">
            <v>CITY OF T OR C</v>
          </cell>
          <cell r="C75">
            <v>78238</v>
          </cell>
          <cell r="D75">
            <v>8.0999999999999996E-4</v>
          </cell>
        </row>
        <row r="76">
          <cell r="A76">
            <v>2780</v>
          </cell>
          <cell r="B76" t="str">
            <v>CITY OF TEXICO</v>
          </cell>
          <cell r="C76">
            <v>7017</v>
          </cell>
          <cell r="D76">
            <v>7.2700000000000005E-5</v>
          </cell>
        </row>
        <row r="77">
          <cell r="A77">
            <v>2810</v>
          </cell>
          <cell r="B77" t="str">
            <v>CITY OF TUCUMCARI</v>
          </cell>
          <cell r="C77">
            <v>55024</v>
          </cell>
          <cell r="D77">
            <v>5.6970000000000002E-4</v>
          </cell>
        </row>
        <row r="78">
          <cell r="A78">
            <v>18056</v>
          </cell>
          <cell r="B78" t="str">
            <v>CLAYTON MUNICIPAL SCHOOLS</v>
          </cell>
          <cell r="C78">
            <v>65307</v>
          </cell>
          <cell r="D78">
            <v>6.7619999999999996E-4</v>
          </cell>
        </row>
        <row r="79">
          <cell r="A79">
            <v>15047</v>
          </cell>
          <cell r="B79" t="str">
            <v>CLOUDCROFT MUNICIPAL  SCHOOL DISTRICT</v>
          </cell>
          <cell r="C79">
            <v>59525</v>
          </cell>
          <cell r="D79">
            <v>6.1629999999999996E-4</v>
          </cell>
        </row>
        <row r="80">
          <cell r="A80">
            <v>5012</v>
          </cell>
          <cell r="B80" t="str">
            <v>CLOVIS MUNICIPAL SCHOOLS</v>
          </cell>
          <cell r="C80">
            <v>987282</v>
          </cell>
          <cell r="D80">
            <v>1.0221900000000001E-2</v>
          </cell>
        </row>
        <row r="81">
          <cell r="A81">
            <v>8024</v>
          </cell>
          <cell r="B81" t="str">
            <v>COBRE CONSOLIDATED SCHOOLS</v>
          </cell>
          <cell r="C81">
            <v>208908</v>
          </cell>
          <cell r="D81">
            <v>2.1629000000000002E-3</v>
          </cell>
        </row>
        <row r="82">
          <cell r="A82">
            <v>3050</v>
          </cell>
          <cell r="B82" t="str">
            <v>COLFAX COUNTY</v>
          </cell>
          <cell r="C82">
            <v>68560</v>
          </cell>
          <cell r="D82">
            <v>7.0980000000000001E-4</v>
          </cell>
        </row>
        <row r="83">
          <cell r="A83">
            <v>2421</v>
          </cell>
          <cell r="B83" t="str">
            <v>CORAL COMMUNITY CHARTER SCHOOL</v>
          </cell>
          <cell r="C83">
            <v>24709</v>
          </cell>
          <cell r="D83">
            <v>2.5579999999999998E-4</v>
          </cell>
        </row>
        <row r="84">
          <cell r="A84">
            <v>26079</v>
          </cell>
          <cell r="B84" t="str">
            <v>CORONA PUBLIC SCHOOLS</v>
          </cell>
          <cell r="C84">
            <v>22036</v>
          </cell>
          <cell r="D84">
            <v>2.2819999999999999E-4</v>
          </cell>
        </row>
        <row r="85">
          <cell r="A85">
            <v>2363</v>
          </cell>
          <cell r="B85" t="str">
            <v>CORRALES INTERNATIONAL SCHOOL</v>
          </cell>
          <cell r="C85">
            <v>28717</v>
          </cell>
          <cell r="D85">
            <v>2.9730000000000002E-4</v>
          </cell>
        </row>
        <row r="86">
          <cell r="A86">
            <v>2364</v>
          </cell>
          <cell r="B86" t="str">
            <v xml:space="preserve">COTTONWOOD CLASSICAL PREPARATORY SCHOOL </v>
          </cell>
          <cell r="C86">
            <v>74335</v>
          </cell>
          <cell r="D86">
            <v>7.6959999999999995E-4</v>
          </cell>
        </row>
        <row r="87">
          <cell r="A87">
            <v>25319</v>
          </cell>
          <cell r="B87" t="str">
            <v>COTTONWOOD VALLEY CHARTER SCHOOL</v>
          </cell>
          <cell r="C87">
            <v>22584</v>
          </cell>
          <cell r="D87">
            <v>2.3379999999999999E-4</v>
          </cell>
        </row>
        <row r="88">
          <cell r="A88">
            <v>29087</v>
          </cell>
          <cell r="B88" t="str">
            <v>CUBA INDEPENDENT SCHOOLS</v>
          </cell>
          <cell r="C88">
            <v>130822</v>
          </cell>
          <cell r="D88">
            <v>1.3545E-3</v>
          </cell>
        </row>
        <row r="89">
          <cell r="A89">
            <v>3060</v>
          </cell>
          <cell r="B89" t="str">
            <v>CURRY COUNTY</v>
          </cell>
          <cell r="C89">
            <v>115450</v>
          </cell>
          <cell r="D89">
            <v>1.1953000000000001E-3</v>
          </cell>
        </row>
        <row r="90">
          <cell r="A90">
            <v>19301</v>
          </cell>
          <cell r="B90" t="str">
            <v>DEMING CESAR CHAVEZ CHARTER HIGH SCHOOL</v>
          </cell>
          <cell r="C90">
            <v>17264</v>
          </cell>
          <cell r="D90">
            <v>1.7870000000000001E-4</v>
          </cell>
        </row>
        <row r="91">
          <cell r="A91">
            <v>19059</v>
          </cell>
          <cell r="B91" t="str">
            <v>DEMING PUBLIC SCHOOLS</v>
          </cell>
          <cell r="C91">
            <v>676512</v>
          </cell>
          <cell r="D91">
            <v>7.0042999999999998E-3</v>
          </cell>
        </row>
        <row r="92">
          <cell r="A92">
            <v>18057</v>
          </cell>
          <cell r="B92" t="str">
            <v>DES MOINES MUNICIPAL SCHOOLS</v>
          </cell>
          <cell r="C92">
            <v>24782</v>
          </cell>
          <cell r="D92">
            <v>2.566E-4</v>
          </cell>
        </row>
        <row r="93">
          <cell r="A93">
            <v>4008</v>
          </cell>
          <cell r="B93" t="str">
            <v>DEXTER CONSOLIDATED SCHOOLS</v>
          </cell>
          <cell r="C93">
            <v>112906</v>
          </cell>
          <cell r="D93">
            <v>1.1689999999999999E-3</v>
          </cell>
        </row>
        <row r="94">
          <cell r="A94">
            <v>2350</v>
          </cell>
          <cell r="B94" t="str">
            <v>DIGITAL ARTS &amp; TECHNOLOGY ACADEMY</v>
          </cell>
          <cell r="C94">
            <v>37337</v>
          </cell>
          <cell r="D94">
            <v>3.8660000000000002E-4</v>
          </cell>
        </row>
        <row r="95">
          <cell r="A95">
            <v>11117</v>
          </cell>
          <cell r="B95" t="str">
            <v>DORA CONSOLIDATED SCHOOLS</v>
          </cell>
          <cell r="C95">
            <v>41796</v>
          </cell>
          <cell r="D95">
            <v>4.327E-4</v>
          </cell>
        </row>
        <row r="96">
          <cell r="A96">
            <v>16359</v>
          </cell>
          <cell r="B96" t="str">
            <v>DREAM DINE' CHARTER SCHOOL</v>
          </cell>
          <cell r="C96">
            <v>6732</v>
          </cell>
          <cell r="D96">
            <v>6.97E-5</v>
          </cell>
        </row>
        <row r="97">
          <cell r="A97">
            <v>17115</v>
          </cell>
          <cell r="B97" t="str">
            <v>DULCE INDEPENDENT SCHOOLS</v>
          </cell>
          <cell r="C97">
            <v>116484</v>
          </cell>
          <cell r="D97">
            <v>1.206E-3</v>
          </cell>
        </row>
        <row r="98">
          <cell r="A98">
            <v>32117</v>
          </cell>
          <cell r="B98" t="str">
            <v>DZIL DIT L'OOI SCHOOL OF EMPOWERMENT</v>
          </cell>
          <cell r="C98">
            <v>7672</v>
          </cell>
          <cell r="D98">
            <v>7.9400000000000006E-5</v>
          </cell>
        </row>
        <row r="99">
          <cell r="A99">
            <v>2304</v>
          </cell>
          <cell r="B99" t="str">
            <v>EAST MOUNTAIN HIGH SCHOOL</v>
          </cell>
          <cell r="C99">
            <v>45123</v>
          </cell>
          <cell r="D99">
            <v>4.6720000000000003E-4</v>
          </cell>
        </row>
        <row r="100">
          <cell r="A100">
            <v>11101</v>
          </cell>
          <cell r="B100" t="str">
            <v>EASTERN NEW MEXICO UNIVERSITY AT PORTALES</v>
          </cell>
          <cell r="C100">
            <v>612611</v>
          </cell>
          <cell r="D100">
            <v>6.3426999999999997E-3</v>
          </cell>
        </row>
        <row r="101">
          <cell r="A101">
            <v>11102</v>
          </cell>
          <cell r="B101" t="str">
            <v>EASTERN NEW MEXICO UNIVERSITY AT ROSWELL</v>
          </cell>
          <cell r="C101">
            <v>192228</v>
          </cell>
          <cell r="D101">
            <v>1.9902000000000001E-3</v>
          </cell>
        </row>
        <row r="102">
          <cell r="A102">
            <v>3100</v>
          </cell>
          <cell r="B102" t="str">
            <v>EDDY COUNTY</v>
          </cell>
          <cell r="C102">
            <v>436619</v>
          </cell>
          <cell r="D102">
            <v>4.5205999999999996E-3</v>
          </cell>
        </row>
        <row r="103">
          <cell r="A103">
            <v>2323</v>
          </cell>
          <cell r="B103" t="str">
            <v>EL CAMINO REAL ACADEMY</v>
          </cell>
          <cell r="C103">
            <v>41652</v>
          </cell>
          <cell r="D103">
            <v>4.3120000000000002E-4</v>
          </cell>
        </row>
        <row r="104">
          <cell r="A104">
            <v>11034</v>
          </cell>
          <cell r="B104" t="str">
            <v>ELIDA MUNICIPAL SCHOOLS</v>
          </cell>
          <cell r="C104">
            <v>30297</v>
          </cell>
          <cell r="D104">
            <v>3.1369999999999998E-4</v>
          </cell>
        </row>
        <row r="105">
          <cell r="A105">
            <v>17054</v>
          </cell>
          <cell r="B105" t="str">
            <v>ESPANOLA PUBLIC SCHOOLS</v>
          </cell>
          <cell r="C105">
            <v>468643</v>
          </cell>
          <cell r="D105">
            <v>4.8520999999999998E-3</v>
          </cell>
        </row>
        <row r="106">
          <cell r="A106">
            <v>22065</v>
          </cell>
          <cell r="B106" t="str">
            <v>ESTANCIA MUNICIPAL SCHOOLS</v>
          </cell>
          <cell r="C106">
            <v>98016</v>
          </cell>
          <cell r="D106">
            <v>1.0147999999999999E-3</v>
          </cell>
        </row>
        <row r="107">
          <cell r="A107">
            <v>22201</v>
          </cell>
          <cell r="B107" t="str">
            <v>ESTANCIA VALLEY CLASSICAL CHARTER SCHOOL</v>
          </cell>
          <cell r="C107">
            <v>48685</v>
          </cell>
          <cell r="D107">
            <v>5.0409999999999995E-4</v>
          </cell>
        </row>
        <row r="108">
          <cell r="A108">
            <v>6016</v>
          </cell>
          <cell r="B108" t="str">
            <v>EUNICE PUBLIC SCHOOLS</v>
          </cell>
          <cell r="C108">
            <v>98819</v>
          </cell>
          <cell r="D108">
            <v>1.0231000000000001E-3</v>
          </cell>
        </row>
        <row r="109">
          <cell r="A109">
            <v>2432</v>
          </cell>
          <cell r="B109" t="str">
            <v>EXPLORE ACADEMY</v>
          </cell>
          <cell r="C109">
            <v>70448</v>
          </cell>
          <cell r="D109">
            <v>7.2939999999999995E-4</v>
          </cell>
        </row>
        <row r="110">
          <cell r="A110">
            <v>16052</v>
          </cell>
          <cell r="B110" t="str">
            <v>FARMINGTON MUNICIPAL SCHOOLS</v>
          </cell>
          <cell r="C110">
            <v>1301770</v>
          </cell>
          <cell r="D110">
            <v>1.3478E-2</v>
          </cell>
        </row>
        <row r="111">
          <cell r="A111">
            <v>11118</v>
          </cell>
          <cell r="B111" t="str">
            <v>FLOYD MUNICIPAL SCHOOLS</v>
          </cell>
          <cell r="C111">
            <v>33844</v>
          </cell>
          <cell r="D111">
            <v>3.5040000000000001E-4</v>
          </cell>
        </row>
        <row r="112">
          <cell r="A112">
            <v>27083</v>
          </cell>
          <cell r="B112" t="str">
            <v>FT SUMNER MUNICIPAL SCHOOLS</v>
          </cell>
          <cell r="C112">
            <v>53050</v>
          </cell>
          <cell r="D112">
            <v>5.4929999999999996E-4</v>
          </cell>
        </row>
        <row r="113">
          <cell r="A113">
            <v>7021</v>
          </cell>
          <cell r="B113" t="str">
            <v>GADSDEN INDEPENDENT SCHOOL DISTRICT</v>
          </cell>
          <cell r="C113">
            <v>1768415</v>
          </cell>
          <cell r="D113">
            <v>1.83094E-2</v>
          </cell>
        </row>
        <row r="114">
          <cell r="A114">
            <v>4140</v>
          </cell>
          <cell r="B114" t="str">
            <v>GALLUP HOUSING AUTHORITY</v>
          </cell>
          <cell r="C114">
            <v>11523</v>
          </cell>
          <cell r="D114">
            <v>1.193E-4</v>
          </cell>
        </row>
        <row r="115">
          <cell r="A115">
            <v>13041</v>
          </cell>
          <cell r="B115" t="str">
            <v>GALLUP-MCKINLEY COUNTY SCHOOLS</v>
          </cell>
          <cell r="C115">
            <v>1567941</v>
          </cell>
          <cell r="D115">
            <v>1.62338E-2</v>
          </cell>
        </row>
        <row r="116">
          <cell r="A116">
            <v>2339</v>
          </cell>
          <cell r="B116" t="str">
            <v>GILBERT L. SENA CHARTER HIGH SCHOOL</v>
          </cell>
          <cell r="C116">
            <v>23093</v>
          </cell>
          <cell r="D116">
            <v>2.3910000000000001E-4</v>
          </cell>
        </row>
        <row r="117">
          <cell r="A117">
            <v>2362</v>
          </cell>
          <cell r="B117" t="str">
            <v>GORDON BERNELL CHARTER SCHOOL</v>
          </cell>
          <cell r="C117">
            <v>29548</v>
          </cell>
          <cell r="D117">
            <v>3.0590000000000001E-4</v>
          </cell>
        </row>
        <row r="118">
          <cell r="A118">
            <v>5013</v>
          </cell>
          <cell r="B118" t="str">
            <v>GRADY MUNICIPAL SCHOOLS</v>
          </cell>
          <cell r="C118">
            <v>28320</v>
          </cell>
          <cell r="D118">
            <v>2.9320000000000003E-4</v>
          </cell>
        </row>
        <row r="119">
          <cell r="A119">
            <v>3110</v>
          </cell>
          <cell r="B119" t="str">
            <v>GRANT COUNTY</v>
          </cell>
          <cell r="C119">
            <v>142983</v>
          </cell>
          <cell r="D119">
            <v>1.4804E-3</v>
          </cell>
        </row>
        <row r="120">
          <cell r="A120">
            <v>14044</v>
          </cell>
          <cell r="B120" t="str">
            <v>GRANTS-CIBOLA COUNTY SCHOOLS</v>
          </cell>
          <cell r="C120">
            <v>455420</v>
          </cell>
          <cell r="D120">
            <v>4.7152000000000001E-3</v>
          </cell>
        </row>
        <row r="121">
          <cell r="A121">
            <v>4009</v>
          </cell>
          <cell r="B121" t="str">
            <v>HAGERMAN MUNICIPAL SCHOOLS</v>
          </cell>
          <cell r="C121">
            <v>60939</v>
          </cell>
          <cell r="D121">
            <v>6.3089999999999999E-4</v>
          </cell>
        </row>
        <row r="122">
          <cell r="A122">
            <v>7022</v>
          </cell>
          <cell r="B122" t="str">
            <v>HATCH VALLEY MUNICIPAL SCHOOLS</v>
          </cell>
          <cell r="C122">
            <v>161161</v>
          </cell>
          <cell r="D122">
            <v>1.6685999999999999E-3</v>
          </cell>
        </row>
        <row r="123">
          <cell r="A123">
            <v>2430</v>
          </cell>
          <cell r="B123" t="str">
            <v>HEALTH LEADERSHIP HIGH SCHOOL</v>
          </cell>
          <cell r="C123">
            <v>24999</v>
          </cell>
          <cell r="D123">
            <v>2.588E-4</v>
          </cell>
        </row>
        <row r="124">
          <cell r="A124">
            <v>9150</v>
          </cell>
          <cell r="B124" t="str">
            <v>HIGH PLAINS REGIONAL EDUCATION COOPERATIVE</v>
          </cell>
          <cell r="C124">
            <v>13383</v>
          </cell>
          <cell r="D124">
            <v>1.3860000000000001E-4</v>
          </cell>
        </row>
        <row r="125">
          <cell r="A125">
            <v>6017</v>
          </cell>
          <cell r="B125" t="str">
            <v>HOBBS MUNICIPAL SCHOOLS</v>
          </cell>
          <cell r="C125">
            <v>1230189</v>
          </cell>
          <cell r="D125">
            <v>1.27368E-2</v>
          </cell>
        </row>
        <row r="126">
          <cell r="A126">
            <v>26080</v>
          </cell>
          <cell r="B126" t="str">
            <v>HONDO VALLEY PUBLIC SCHOOLS</v>
          </cell>
          <cell r="C126">
            <v>33625</v>
          </cell>
          <cell r="D126">
            <v>3.481E-4</v>
          </cell>
        </row>
        <row r="127">
          <cell r="A127">
            <v>2327</v>
          </cell>
          <cell r="B127" t="str">
            <v>HORIZON ACADEMY WEST</v>
          </cell>
          <cell r="C127">
            <v>41772</v>
          </cell>
          <cell r="D127">
            <v>4.325E-4</v>
          </cell>
        </row>
        <row r="128">
          <cell r="A128">
            <v>10119</v>
          </cell>
          <cell r="B128" t="str">
            <v>HOUSE MUNICIPAL SCHOOLS</v>
          </cell>
          <cell r="C128">
            <v>23184</v>
          </cell>
          <cell r="D128">
            <v>2.4000000000000001E-4</v>
          </cell>
        </row>
        <row r="129">
          <cell r="A129">
            <v>573</v>
          </cell>
          <cell r="B129" t="str">
            <v>HOZHO ACADEMY</v>
          </cell>
          <cell r="C129">
            <v>37443</v>
          </cell>
          <cell r="D129">
            <v>3.8769999999999999E-4</v>
          </cell>
        </row>
        <row r="130">
          <cell r="A130">
            <v>2368</v>
          </cell>
          <cell r="B130" t="str">
            <v>INTERNATIONAL SCHOOL AT MESA DEL SOL</v>
          </cell>
          <cell r="C130">
            <v>48382</v>
          </cell>
          <cell r="D130">
            <v>5.0089999999999998E-4</v>
          </cell>
        </row>
        <row r="131">
          <cell r="A131">
            <v>7420</v>
          </cell>
          <cell r="B131" t="str">
            <v>J. PAUL TAYLOR ACADEMY</v>
          </cell>
          <cell r="C131">
            <v>22926</v>
          </cell>
          <cell r="D131">
            <v>2.374E-4</v>
          </cell>
        </row>
        <row r="132">
          <cell r="A132">
            <v>6018</v>
          </cell>
          <cell r="B132" t="str">
            <v>JAL PUBLIC SCHOOLS</v>
          </cell>
          <cell r="C132">
            <v>69881</v>
          </cell>
          <cell r="D132">
            <v>7.2349999999999997E-4</v>
          </cell>
        </row>
        <row r="133">
          <cell r="A133">
            <v>3321</v>
          </cell>
          <cell r="B133" t="str">
            <v>JEFFERSON MONTESSORI ACADEMY</v>
          </cell>
          <cell r="C133">
            <v>29255</v>
          </cell>
          <cell r="D133">
            <v>3.0289999999999999E-4</v>
          </cell>
        </row>
        <row r="134">
          <cell r="A134">
            <v>29122</v>
          </cell>
          <cell r="B134" t="str">
            <v>JEMEZ MOUNTAIN SCHOOL DISTRICT</v>
          </cell>
          <cell r="C134">
            <v>39038</v>
          </cell>
          <cell r="D134">
            <v>4.0420000000000001E-4</v>
          </cell>
        </row>
        <row r="135">
          <cell r="A135">
            <v>29088</v>
          </cell>
          <cell r="B135" t="str">
            <v>JEMEZ VALLEY PUBLIC SCHOOLS</v>
          </cell>
          <cell r="C135">
            <v>52089</v>
          </cell>
          <cell r="D135">
            <v>5.3930000000000004E-4</v>
          </cell>
        </row>
        <row r="136">
          <cell r="A136">
            <v>7337</v>
          </cell>
          <cell r="B136" t="str">
            <v>LA ACADEMIA DE DOLORES HUERTA</v>
          </cell>
          <cell r="C136">
            <v>13422</v>
          </cell>
          <cell r="D136">
            <v>1.3899999999999999E-4</v>
          </cell>
        </row>
        <row r="137">
          <cell r="A137">
            <v>2329</v>
          </cell>
          <cell r="B137" t="str">
            <v>LA ACADEMIA DE ESPERANZA CHARTER SCHOOL</v>
          </cell>
          <cell r="C137">
            <v>42684</v>
          </cell>
          <cell r="D137">
            <v>4.4190000000000001E-4</v>
          </cell>
        </row>
        <row r="138">
          <cell r="A138">
            <v>17425</v>
          </cell>
          <cell r="B138" t="str">
            <v>LA TIERRA MONTESSORI SCHOOL</v>
          </cell>
          <cell r="C138">
            <v>5512</v>
          </cell>
          <cell r="D138">
            <v>5.7099999999999999E-5</v>
          </cell>
        </row>
        <row r="139">
          <cell r="A139">
            <v>4010</v>
          </cell>
          <cell r="B139" t="str">
            <v>LAKE ARTHUR SCHOOLS</v>
          </cell>
          <cell r="C139">
            <v>24215</v>
          </cell>
          <cell r="D139">
            <v>2.5070000000000002E-4</v>
          </cell>
        </row>
        <row r="140">
          <cell r="A140">
            <v>7023</v>
          </cell>
          <cell r="B140" t="str">
            <v>LAS CRUCES PUBLIC SCHOOLS</v>
          </cell>
          <cell r="C140">
            <v>3057526</v>
          </cell>
          <cell r="D140">
            <v>3.1656299999999998E-2</v>
          </cell>
        </row>
        <row r="141">
          <cell r="A141">
            <v>7338</v>
          </cell>
          <cell r="B141" t="str">
            <v>LAS MONTANAS CHARTER HIGH SCHOOL</v>
          </cell>
          <cell r="C141">
            <v>28005</v>
          </cell>
          <cell r="D141">
            <v>2.9E-4</v>
          </cell>
        </row>
        <row r="142">
          <cell r="A142">
            <v>12037</v>
          </cell>
          <cell r="B142" t="str">
            <v>LAS VEGAS CITY SCHOOLS</v>
          </cell>
          <cell r="C142">
            <v>195073</v>
          </cell>
          <cell r="D142">
            <v>2.0197000000000001E-3</v>
          </cell>
        </row>
        <row r="143">
          <cell r="A143">
            <v>3150</v>
          </cell>
          <cell r="B143" t="str">
            <v>LEA COUNTY</v>
          </cell>
          <cell r="C143">
            <v>360455</v>
          </cell>
          <cell r="D143">
            <v>3.7320000000000001E-3</v>
          </cell>
        </row>
        <row r="144">
          <cell r="A144">
            <v>3160</v>
          </cell>
          <cell r="B144" t="str">
            <v>LINCOLN COUNTY</v>
          </cell>
          <cell r="C144">
            <v>91409</v>
          </cell>
          <cell r="D144">
            <v>9.4640000000000002E-4</v>
          </cell>
        </row>
        <row r="145">
          <cell r="A145">
            <v>10120</v>
          </cell>
          <cell r="B145" t="str">
            <v>LOGAN MUNICIPAL SCHOOLS</v>
          </cell>
          <cell r="C145">
            <v>45195</v>
          </cell>
          <cell r="D145">
            <v>4.6789999999999999E-4</v>
          </cell>
        </row>
        <row r="146">
          <cell r="A146">
            <v>23070</v>
          </cell>
          <cell r="B146" t="str">
            <v>LORDSBURG MUNICIPAL SCHOOLS</v>
          </cell>
          <cell r="C146">
            <v>75791</v>
          </cell>
          <cell r="D146">
            <v>7.8470000000000005E-4</v>
          </cell>
        </row>
        <row r="147">
          <cell r="A147">
            <v>3170</v>
          </cell>
          <cell r="B147" t="str">
            <v>LOS ALAMOS COUNTY</v>
          </cell>
          <cell r="C147">
            <v>912309</v>
          </cell>
          <cell r="D147">
            <v>9.4456000000000002E-3</v>
          </cell>
        </row>
        <row r="148">
          <cell r="A148">
            <v>32093</v>
          </cell>
          <cell r="B148" t="str">
            <v>LOS ALAMOS PUBLIC SCHOOLS</v>
          </cell>
          <cell r="C148">
            <v>586168</v>
          </cell>
          <cell r="D148">
            <v>6.0689000000000003E-3</v>
          </cell>
        </row>
        <row r="149">
          <cell r="A149">
            <v>14045</v>
          </cell>
          <cell r="B149" t="str">
            <v>LOS LUNAS CONSOLIDATED SCHOOLS</v>
          </cell>
          <cell r="C149">
            <v>1012205</v>
          </cell>
          <cell r="D149">
            <v>1.04799E-2</v>
          </cell>
        </row>
        <row r="150">
          <cell r="A150">
            <v>2322</v>
          </cell>
          <cell r="B150" t="str">
            <v>LOS PUENTES CHARTER SCHOOL</v>
          </cell>
          <cell r="C150">
            <v>23212</v>
          </cell>
          <cell r="D150">
            <v>2.4030000000000001E-4</v>
          </cell>
        </row>
        <row r="151">
          <cell r="A151">
            <v>3006</v>
          </cell>
          <cell r="B151" t="str">
            <v>LOVING MUNICIPAL SCHOOLS</v>
          </cell>
          <cell r="C151">
            <v>87165</v>
          </cell>
          <cell r="D151">
            <v>9.0249999999999998E-4</v>
          </cell>
        </row>
        <row r="152">
          <cell r="A152">
            <v>6019</v>
          </cell>
          <cell r="B152" t="str">
            <v>LOVINGTON MUNICIPAL SCHOOLS</v>
          </cell>
          <cell r="C152">
            <v>448933</v>
          </cell>
          <cell r="D152">
            <v>4.6480999999999996E-3</v>
          </cell>
        </row>
        <row r="153">
          <cell r="A153">
            <v>12128</v>
          </cell>
          <cell r="B153" t="str">
            <v>LUNA COMMUNITY COLLEGE</v>
          </cell>
          <cell r="C153">
            <v>113598</v>
          </cell>
          <cell r="D153">
            <v>1.1761E-3</v>
          </cell>
        </row>
        <row r="154">
          <cell r="A154">
            <v>3180</v>
          </cell>
          <cell r="B154" t="str">
            <v>LUNA COUNTY</v>
          </cell>
          <cell r="C154">
            <v>171701</v>
          </cell>
          <cell r="D154">
            <v>1.7776999999999999E-3</v>
          </cell>
        </row>
        <row r="155">
          <cell r="A155">
            <v>25075</v>
          </cell>
          <cell r="B155" t="str">
            <v>MAGDALENA MUNICIPAL SCHOOLS</v>
          </cell>
          <cell r="C155">
            <v>69964</v>
          </cell>
          <cell r="D155">
            <v>7.2440000000000004E-4</v>
          </cell>
        </row>
        <row r="156">
          <cell r="A156">
            <v>2311</v>
          </cell>
          <cell r="B156" t="str">
            <v>MARK ARMIJO ACADEMY</v>
          </cell>
          <cell r="C156">
            <v>25958</v>
          </cell>
          <cell r="D156">
            <v>2.6879999999999997E-4</v>
          </cell>
        </row>
        <row r="157">
          <cell r="A157">
            <v>9028</v>
          </cell>
          <cell r="B157" t="str">
            <v>MAXWELL MUNICIPAL SCHOOLS</v>
          </cell>
          <cell r="C157">
            <v>27669</v>
          </cell>
          <cell r="D157">
            <v>2.8650000000000003E-4</v>
          </cell>
        </row>
        <row r="158">
          <cell r="A158">
            <v>17424</v>
          </cell>
          <cell r="B158" t="str">
            <v>MCCURDY CHARTER SCHOOL</v>
          </cell>
          <cell r="C158">
            <v>49863</v>
          </cell>
          <cell r="D158">
            <v>5.1630000000000003E-4</v>
          </cell>
        </row>
        <row r="159">
          <cell r="A159">
            <v>3200</v>
          </cell>
          <cell r="B159" t="str">
            <v>MCKINLEY COUNTY</v>
          </cell>
          <cell r="C159">
            <v>199613</v>
          </cell>
          <cell r="D159">
            <v>2.0666999999999999E-3</v>
          </cell>
        </row>
        <row r="160">
          <cell r="A160">
            <v>2365</v>
          </cell>
          <cell r="B160" t="str">
            <v>MEDIA ARTS COLLABORATIVE CHARTER SCHOOL</v>
          </cell>
          <cell r="C160">
            <v>31994</v>
          </cell>
          <cell r="D160">
            <v>3.3129999999999998E-4</v>
          </cell>
        </row>
        <row r="161">
          <cell r="A161">
            <v>5014</v>
          </cell>
          <cell r="B161" t="str">
            <v>MELROSE MUNICIPAL SCHOOLS</v>
          </cell>
          <cell r="C161">
            <v>38117</v>
          </cell>
          <cell r="D161">
            <v>3.946E-4</v>
          </cell>
        </row>
        <row r="162">
          <cell r="A162">
            <v>17127</v>
          </cell>
          <cell r="B162" t="str">
            <v>MESA VISTA SCHOOLS</v>
          </cell>
          <cell r="C162">
            <v>40519</v>
          </cell>
          <cell r="D162">
            <v>4.1950000000000001E-4</v>
          </cell>
        </row>
        <row r="163">
          <cell r="A163">
            <v>10141</v>
          </cell>
          <cell r="B163" t="str">
            <v>MESALANDS COMMUNITY COLLEGE</v>
          </cell>
          <cell r="C163">
            <v>59822</v>
          </cell>
          <cell r="D163">
            <v>6.1939999999999999E-4</v>
          </cell>
        </row>
        <row r="164">
          <cell r="A164">
            <v>13369</v>
          </cell>
          <cell r="B164" t="str">
            <v>MIDDLE COLLEGE HIGH SCHOOL</v>
          </cell>
          <cell r="C164">
            <v>12856</v>
          </cell>
          <cell r="D164">
            <v>1.3310000000000001E-4</v>
          </cell>
        </row>
        <row r="165">
          <cell r="A165">
            <v>4570</v>
          </cell>
          <cell r="B165" t="str">
            <v>MID-REGION COUNCIL OF GOVERNMENTS</v>
          </cell>
          <cell r="C165">
            <v>141885</v>
          </cell>
          <cell r="D165">
            <v>1.469E-3</v>
          </cell>
        </row>
        <row r="166">
          <cell r="A166">
            <v>2425</v>
          </cell>
          <cell r="B166" t="str">
            <v>MISSION ACHIEVEMENT &amp; SUCCESS SCHOOL</v>
          </cell>
          <cell r="C166">
            <v>168287</v>
          </cell>
          <cell r="D166">
            <v>1.7424000000000001E-3</v>
          </cell>
        </row>
        <row r="167">
          <cell r="A167">
            <v>1306</v>
          </cell>
          <cell r="B167" t="str">
            <v>MONTE DEL SOL CHARTER SCHOOL</v>
          </cell>
          <cell r="C167">
            <v>45696</v>
          </cell>
          <cell r="D167">
            <v>4.7310000000000001E-4</v>
          </cell>
        </row>
        <row r="168">
          <cell r="A168">
            <v>2351</v>
          </cell>
          <cell r="B168" t="str">
            <v>MONTESSORI ELEMENTARY CHARTER SCHOOL</v>
          </cell>
          <cell r="C168">
            <v>36232</v>
          </cell>
          <cell r="D168">
            <v>3.7510000000000001E-4</v>
          </cell>
        </row>
        <row r="169">
          <cell r="A169">
            <v>2334</v>
          </cell>
          <cell r="B169" t="str">
            <v>MONTESSORI OF THE RIO GRANDE CHARTER SCHOOL</v>
          </cell>
          <cell r="C169">
            <v>26023</v>
          </cell>
          <cell r="D169">
            <v>2.6939999999999999E-4</v>
          </cell>
        </row>
        <row r="170">
          <cell r="A170">
            <v>30089</v>
          </cell>
          <cell r="B170" t="str">
            <v>MORA INDEPENDENT SCHOOLS</v>
          </cell>
          <cell r="C170">
            <v>79338</v>
          </cell>
          <cell r="D170">
            <v>8.2140000000000002E-4</v>
          </cell>
        </row>
        <row r="171">
          <cell r="A171">
            <v>9324</v>
          </cell>
          <cell r="B171" t="str">
            <v>MORENO VALLEY CHARTER HIGH SCHOOL</v>
          </cell>
          <cell r="C171">
            <v>11463</v>
          </cell>
          <cell r="D171">
            <v>1.187E-4</v>
          </cell>
        </row>
        <row r="172">
          <cell r="A172">
            <v>22066</v>
          </cell>
          <cell r="B172" t="str">
            <v>MORIARTY-EDGEWOOD SCHOOL DISTRICT</v>
          </cell>
          <cell r="C172">
            <v>305780</v>
          </cell>
          <cell r="D172">
            <v>3.1659000000000001E-3</v>
          </cell>
        </row>
        <row r="173">
          <cell r="A173">
            <v>16356</v>
          </cell>
          <cell r="B173" t="str">
            <v>MOSAIC ACADEMY CHARTER SCHOOL</v>
          </cell>
          <cell r="C173">
            <v>19050</v>
          </cell>
          <cell r="D173">
            <v>1.972E-4</v>
          </cell>
        </row>
        <row r="174">
          <cell r="A174">
            <v>31091</v>
          </cell>
          <cell r="B174" t="str">
            <v>MOSQUERO MUNICIPAL SCHOOLS</v>
          </cell>
          <cell r="C174">
            <v>18105</v>
          </cell>
          <cell r="D174">
            <v>1.875E-4</v>
          </cell>
        </row>
        <row r="175">
          <cell r="A175">
            <v>2342</v>
          </cell>
          <cell r="B175" t="str">
            <v>MOUNTAIN MAHOGANY COMMUNITY SCHOOL</v>
          </cell>
          <cell r="C175">
            <v>28804</v>
          </cell>
          <cell r="D175">
            <v>2.9819999999999998E-4</v>
          </cell>
        </row>
        <row r="176">
          <cell r="A176">
            <v>22067</v>
          </cell>
          <cell r="B176" t="str">
            <v>MOUNTAINAIR PUBLIC SCHOOLS</v>
          </cell>
          <cell r="C176">
            <v>42607</v>
          </cell>
          <cell r="D176">
            <v>4.4109999999999999E-4</v>
          </cell>
        </row>
        <row r="177">
          <cell r="A177">
            <v>32112</v>
          </cell>
          <cell r="B177" t="str">
            <v xml:space="preserve">NATIONAL EDUCATION ASSOCIATION - NEW MEXICO </v>
          </cell>
          <cell r="C177">
            <v>25172</v>
          </cell>
          <cell r="D177">
            <v>2.6059999999999999E-4</v>
          </cell>
        </row>
        <row r="178">
          <cell r="A178">
            <v>2354</v>
          </cell>
          <cell r="B178" t="str">
            <v>NATIVE AMERICAN COMMUNITY ACADEMY</v>
          </cell>
          <cell r="C178">
            <v>65648</v>
          </cell>
          <cell r="D178">
            <v>6.7969999999999999E-4</v>
          </cell>
        </row>
        <row r="179">
          <cell r="A179">
            <v>2148</v>
          </cell>
          <cell r="B179" t="str">
            <v>NEW MEXICO ACTIVITIES ASSOCIATION</v>
          </cell>
          <cell r="C179">
            <v>23392</v>
          </cell>
          <cell r="D179">
            <v>2.4220000000000001E-4</v>
          </cell>
        </row>
        <row r="180">
          <cell r="A180">
            <v>1418</v>
          </cell>
          <cell r="B180" t="str">
            <v>NEW MEXICO CONNECTIONS ACADEMY</v>
          </cell>
          <cell r="C180">
            <v>90250</v>
          </cell>
          <cell r="D180">
            <v>9.3440000000000005E-4</v>
          </cell>
        </row>
        <row r="181">
          <cell r="A181">
            <v>12102</v>
          </cell>
          <cell r="B181" t="str">
            <v>NEW MEXICO HIGHLANDS UNIVERSITY</v>
          </cell>
          <cell r="C181">
            <v>511449</v>
          </cell>
          <cell r="D181">
            <v>5.2953000000000002E-3</v>
          </cell>
        </row>
        <row r="182">
          <cell r="A182">
            <v>2414</v>
          </cell>
          <cell r="B182" t="str">
            <v>NEW MEXICO INTERNATIONAL SCHOOL</v>
          </cell>
          <cell r="C182">
            <v>38799</v>
          </cell>
          <cell r="D182">
            <v>4.0170000000000001E-4</v>
          </cell>
        </row>
        <row r="183">
          <cell r="A183">
            <v>6124</v>
          </cell>
          <cell r="B183" t="str">
            <v>NEW MEXICO JUNIOR COLLEGE</v>
          </cell>
          <cell r="C183">
            <v>240583</v>
          </cell>
          <cell r="D183">
            <v>2.4908999999999999E-3</v>
          </cell>
        </row>
        <row r="184">
          <cell r="A184">
            <v>4097</v>
          </cell>
          <cell r="B184" t="str">
            <v>NEW MEXICO MILITARY INSTITUTE</v>
          </cell>
          <cell r="C184">
            <v>284708</v>
          </cell>
          <cell r="D184">
            <v>2.9477000000000001E-3</v>
          </cell>
        </row>
        <row r="185">
          <cell r="A185">
            <v>1416</v>
          </cell>
          <cell r="B185" t="str">
            <v>NEW MEXICO SCHOOL FOR THE ARTS</v>
          </cell>
          <cell r="C185">
            <v>35089</v>
          </cell>
          <cell r="D185">
            <v>3.6329999999999999E-4</v>
          </cell>
        </row>
        <row r="186">
          <cell r="A186">
            <v>1094</v>
          </cell>
          <cell r="B186" t="str">
            <v>NEW MEXICO SCHOOL FOR THE DEAF</v>
          </cell>
          <cell r="C186">
            <v>212632</v>
          </cell>
          <cell r="D186">
            <v>2.2014999999999999E-3</v>
          </cell>
        </row>
        <row r="187">
          <cell r="A187">
            <v>32111</v>
          </cell>
          <cell r="B187" t="str">
            <v>NM SCHOOL FOR THE BLIND &amp; VISUAL IMPAIRED</v>
          </cell>
          <cell r="C187">
            <v>195114</v>
          </cell>
          <cell r="D187">
            <v>2.0200999999999999E-3</v>
          </cell>
        </row>
        <row r="188">
          <cell r="A188">
            <v>2520</v>
          </cell>
          <cell r="B188" t="str">
            <v>NORTH CENTRAL NEW MEXICO ECONOMIC DEVELOPMENT DISTRICT</v>
          </cell>
          <cell r="C188">
            <v>26981</v>
          </cell>
          <cell r="D188">
            <v>2.7930000000000001E-4</v>
          </cell>
        </row>
        <row r="189">
          <cell r="A189">
            <v>3450</v>
          </cell>
          <cell r="B189" t="str">
            <v>NORTH CENTRAL REGIONAL TRANSIT DISTRICT</v>
          </cell>
          <cell r="C189">
            <v>55012</v>
          </cell>
          <cell r="D189">
            <v>5.6959999999999997E-4</v>
          </cell>
        </row>
        <row r="190">
          <cell r="A190">
            <v>4310</v>
          </cell>
          <cell r="B190" t="str">
            <v>NORTH CENTRAL SOLID WASTE AUTHORITY</v>
          </cell>
          <cell r="C190">
            <v>31433</v>
          </cell>
          <cell r="D190">
            <v>3.2539999999999999E-4</v>
          </cell>
        </row>
        <row r="191">
          <cell r="A191">
            <v>2328</v>
          </cell>
          <cell r="B191" t="str">
            <v>NORTH VALLEY ACADEMY</v>
          </cell>
          <cell r="C191">
            <v>51190</v>
          </cell>
          <cell r="D191">
            <v>5.2999999999999998E-4</v>
          </cell>
        </row>
        <row r="192">
          <cell r="A192">
            <v>12151</v>
          </cell>
          <cell r="B192" t="str">
            <v>NORTHEAST REGIONAL EDUCATION COOPERATIVE #4</v>
          </cell>
          <cell r="C192">
            <v>16919</v>
          </cell>
          <cell r="D192">
            <v>1.752E-4</v>
          </cell>
        </row>
        <row r="193">
          <cell r="A193">
            <v>32110</v>
          </cell>
          <cell r="B193" t="str">
            <v>NORTHERN NEW MEXICO COLLEGE</v>
          </cell>
          <cell r="C193">
            <v>195590</v>
          </cell>
          <cell r="D193">
            <v>2.0251000000000002E-3</v>
          </cell>
        </row>
        <row r="194">
          <cell r="A194">
            <v>4215</v>
          </cell>
          <cell r="B194" t="str">
            <v>NORTHERN REGIONAL HOUSING AUTHORITY</v>
          </cell>
          <cell r="C194">
            <v>2860</v>
          </cell>
          <cell r="D194">
            <v>2.9600000000000001E-5</v>
          </cell>
        </row>
        <row r="195">
          <cell r="A195">
            <v>2870</v>
          </cell>
          <cell r="B195" t="str">
            <v>NORTHWEST NEW MEXICO REGIONAL SOLID WASTE AUTHORITY</v>
          </cell>
          <cell r="C195">
            <v>31130</v>
          </cell>
          <cell r="D195">
            <v>3.2229999999999997E-4</v>
          </cell>
        </row>
        <row r="196">
          <cell r="A196">
            <v>29150</v>
          </cell>
          <cell r="B196" t="str">
            <v>NORTHWEST REGIONAL EDUCATION COOPERATIVE #2</v>
          </cell>
          <cell r="C196">
            <v>9501</v>
          </cell>
          <cell r="D196">
            <v>9.8400000000000007E-5</v>
          </cell>
        </row>
        <row r="197">
          <cell r="A197">
            <v>32118</v>
          </cell>
          <cell r="B197" t="str">
            <v>PECOS CONNECTIONS ACADEMY</v>
          </cell>
          <cell r="C197">
            <v>90040</v>
          </cell>
          <cell r="D197">
            <v>9.322E-4</v>
          </cell>
        </row>
        <row r="198">
          <cell r="A198">
            <v>12039</v>
          </cell>
          <cell r="B198" t="str">
            <v>PECOS INDEPENDENT SCHOOLS</v>
          </cell>
          <cell r="C198">
            <v>84550</v>
          </cell>
          <cell r="D198">
            <v>8.7540000000000003E-4</v>
          </cell>
        </row>
        <row r="199">
          <cell r="A199">
            <v>12150</v>
          </cell>
          <cell r="B199" t="str">
            <v>PECOS VALLEY REGIONAL EDUCATION COOPERATIVE #8</v>
          </cell>
          <cell r="C199">
            <v>16397</v>
          </cell>
          <cell r="D199">
            <v>1.6980000000000001E-4</v>
          </cell>
        </row>
        <row r="200">
          <cell r="A200">
            <v>20060</v>
          </cell>
          <cell r="B200" t="str">
            <v>PENASCO INDEPENDENT SCHOOLS</v>
          </cell>
          <cell r="C200">
            <v>59999</v>
          </cell>
          <cell r="D200">
            <v>6.2120000000000003E-4</v>
          </cell>
        </row>
        <row r="201">
          <cell r="A201">
            <v>1001</v>
          </cell>
          <cell r="B201" t="str">
            <v>POJOAQUE VALLEY SCHOOLS</v>
          </cell>
          <cell r="C201">
            <v>166397</v>
          </cell>
          <cell r="D201">
            <v>1.7228E-3</v>
          </cell>
        </row>
        <row r="202">
          <cell r="A202">
            <v>11035</v>
          </cell>
          <cell r="B202" t="str">
            <v>PORTALES MUNICIPAL SCHOOLS</v>
          </cell>
          <cell r="C202">
            <v>384402</v>
          </cell>
          <cell r="D202">
            <v>3.9798999999999998E-3</v>
          </cell>
        </row>
        <row r="203">
          <cell r="A203">
            <v>2320</v>
          </cell>
          <cell r="B203" t="str">
            <v>PUBLIC ACADEMY FOR THE PERFORMING ARTS</v>
          </cell>
          <cell r="C203">
            <v>46175</v>
          </cell>
          <cell r="D203">
            <v>4.7810000000000002E-4</v>
          </cell>
        </row>
        <row r="204">
          <cell r="A204">
            <v>28084</v>
          </cell>
          <cell r="B204" t="str">
            <v xml:space="preserve">QUEMADO INDEPENDENT SCHOOL DISTRICT </v>
          </cell>
          <cell r="C204">
            <v>36506</v>
          </cell>
          <cell r="D204">
            <v>3.7800000000000003E-4</v>
          </cell>
        </row>
        <row r="205">
          <cell r="A205">
            <v>20125</v>
          </cell>
          <cell r="B205" t="str">
            <v>QUESTA INDEPENDENT SCHOOLS</v>
          </cell>
          <cell r="C205">
            <v>42681</v>
          </cell>
          <cell r="D205">
            <v>4.4190000000000001E-4</v>
          </cell>
        </row>
        <row r="206">
          <cell r="A206">
            <v>7445</v>
          </cell>
          <cell r="B206" t="str">
            <v>RAICES DEL SABER XINACHTLI COMMUNITY SCHOOL</v>
          </cell>
          <cell r="C206">
            <v>9763</v>
          </cell>
          <cell r="D206">
            <v>1.011E-4</v>
          </cell>
        </row>
        <row r="207">
          <cell r="A207">
            <v>4170</v>
          </cell>
          <cell r="B207" t="str">
            <v>RATON HOUSING AUTHORITY</v>
          </cell>
          <cell r="C207">
            <v>2083</v>
          </cell>
          <cell r="D207">
            <v>2.16E-5</v>
          </cell>
        </row>
        <row r="208">
          <cell r="A208">
            <v>9029</v>
          </cell>
          <cell r="B208" t="str">
            <v>RATON PUBLIC SCHOOLS</v>
          </cell>
          <cell r="C208">
            <v>113313</v>
          </cell>
          <cell r="D208">
            <v>1.1731999999999999E-3</v>
          </cell>
        </row>
        <row r="209">
          <cell r="A209">
            <v>2580</v>
          </cell>
          <cell r="B209" t="str">
            <v>RATON PUBLIC SERVICE</v>
          </cell>
          <cell r="C209">
            <v>16413</v>
          </cell>
          <cell r="D209">
            <v>1.6990000000000001E-4</v>
          </cell>
        </row>
        <row r="210">
          <cell r="A210">
            <v>20312</v>
          </cell>
          <cell r="B210" t="str">
            <v>RED RIVER VALLEY CHARTER SCHOOL</v>
          </cell>
          <cell r="C210">
            <v>12425</v>
          </cell>
          <cell r="D210">
            <v>1.2860000000000001E-4</v>
          </cell>
        </row>
        <row r="211">
          <cell r="A211">
            <v>26150</v>
          </cell>
          <cell r="B211" t="str">
            <v>REGION IX EDUCATION COOPERATIVE</v>
          </cell>
          <cell r="C211">
            <v>81891</v>
          </cell>
          <cell r="D211">
            <v>8.4789999999999996E-4</v>
          </cell>
        </row>
        <row r="212">
          <cell r="A212">
            <v>5016</v>
          </cell>
          <cell r="B212" t="str">
            <v>REGIONAL EDUCATION COOPERATIVE #6</v>
          </cell>
          <cell r="C212">
            <v>9495</v>
          </cell>
          <cell r="D212">
            <v>9.8300000000000004E-5</v>
          </cell>
        </row>
        <row r="213">
          <cell r="A213">
            <v>6150</v>
          </cell>
          <cell r="B213" t="str">
            <v>REGIONAL EDUCATION COOPERATIVE VII</v>
          </cell>
          <cell r="C213">
            <v>7878</v>
          </cell>
          <cell r="D213">
            <v>8.1600000000000005E-5</v>
          </cell>
        </row>
        <row r="214">
          <cell r="A214">
            <v>4480</v>
          </cell>
          <cell r="B214" t="str">
            <v>REGIONAL EMERGENCY DISPATCH AUTHORITY</v>
          </cell>
          <cell r="C214">
            <v>16182</v>
          </cell>
          <cell r="D214">
            <v>1.6750000000000001E-4</v>
          </cell>
        </row>
        <row r="215">
          <cell r="A215">
            <v>28085</v>
          </cell>
          <cell r="B215" t="str">
            <v>RESERVE SCHOOL DISTRICT</v>
          </cell>
          <cell r="C215">
            <v>29914</v>
          </cell>
          <cell r="D215">
            <v>3.0969999999999999E-4</v>
          </cell>
        </row>
        <row r="216">
          <cell r="A216">
            <v>3240</v>
          </cell>
          <cell r="B216" t="str">
            <v>RIO ARRIBA COUNTY</v>
          </cell>
          <cell r="C216">
            <v>197860</v>
          </cell>
          <cell r="D216">
            <v>2.0485999999999998E-3</v>
          </cell>
        </row>
        <row r="217">
          <cell r="A217">
            <v>12326</v>
          </cell>
          <cell r="B217" t="str">
            <v>RIO GALLINAS CHARTER SCHOOL</v>
          </cell>
          <cell r="C217">
            <v>10558</v>
          </cell>
          <cell r="D217">
            <v>1.093E-4</v>
          </cell>
        </row>
        <row r="218">
          <cell r="A218">
            <v>29123</v>
          </cell>
          <cell r="B218" t="str">
            <v>RIO RANCHO PUBLIC SCHOOLS</v>
          </cell>
          <cell r="C218">
            <v>2161643</v>
          </cell>
          <cell r="D218">
            <v>2.23807E-2</v>
          </cell>
        </row>
        <row r="219">
          <cell r="A219">
            <v>2318</v>
          </cell>
          <cell r="B219" t="str">
            <v>ROBERT F. KENNEDY CHARTER SCHOOL</v>
          </cell>
          <cell r="C219">
            <v>49200</v>
          </cell>
          <cell r="D219">
            <v>5.0940000000000002E-4</v>
          </cell>
        </row>
        <row r="220">
          <cell r="A220">
            <v>3250</v>
          </cell>
          <cell r="B220" t="str">
            <v>ROOSEVELT COUNTY</v>
          </cell>
          <cell r="C220">
            <v>66235</v>
          </cell>
          <cell r="D220">
            <v>6.8579999999999997E-4</v>
          </cell>
        </row>
        <row r="221">
          <cell r="A221">
            <v>2313</v>
          </cell>
          <cell r="B221" t="str">
            <v>ROOTS AND WINGS COMMUNITY SCHOOL</v>
          </cell>
          <cell r="C221">
            <v>6799</v>
          </cell>
          <cell r="D221">
            <v>7.0400000000000004E-5</v>
          </cell>
        </row>
        <row r="222">
          <cell r="A222">
            <v>4011</v>
          </cell>
          <cell r="B222" t="str">
            <v>ROSWELL INDEPENDENT SCHOOLS</v>
          </cell>
          <cell r="C222">
            <v>1224928</v>
          </cell>
          <cell r="D222">
            <v>1.26824E-2</v>
          </cell>
        </row>
        <row r="223">
          <cell r="A223">
            <v>31092</v>
          </cell>
          <cell r="B223" t="str">
            <v>ROY SCHOOLS</v>
          </cell>
          <cell r="C223">
            <v>19724</v>
          </cell>
          <cell r="D223">
            <v>2.042E-4</v>
          </cell>
        </row>
        <row r="224">
          <cell r="A224">
            <v>26081</v>
          </cell>
          <cell r="B224" t="str">
            <v>RUIDOSO MUNICIPAL SCHOOLS</v>
          </cell>
          <cell r="C224">
            <v>215339</v>
          </cell>
          <cell r="D224">
            <v>2.2295000000000001E-3</v>
          </cell>
        </row>
        <row r="225">
          <cell r="A225">
            <v>29305</v>
          </cell>
          <cell r="B225" t="str">
            <v>SAN DIEGO RIVERSIDE CHARTER SCHOOL</v>
          </cell>
          <cell r="C225">
            <v>17507</v>
          </cell>
          <cell r="D225">
            <v>1.8129999999999999E-4</v>
          </cell>
        </row>
        <row r="226">
          <cell r="A226">
            <v>10032</v>
          </cell>
          <cell r="B226" t="str">
            <v>SAN JON MUNICIPAL SCHOOLS</v>
          </cell>
          <cell r="C226">
            <v>24774</v>
          </cell>
          <cell r="D226">
            <v>2.565E-4</v>
          </cell>
        </row>
        <row r="227">
          <cell r="A227">
            <v>32107</v>
          </cell>
          <cell r="B227" t="str">
            <v>SAN JUAN COMMUNICATIONS</v>
          </cell>
          <cell r="C227">
            <v>31426</v>
          </cell>
          <cell r="D227">
            <v>3.2539999999999999E-4</v>
          </cell>
        </row>
        <row r="228">
          <cell r="A228">
            <v>3260</v>
          </cell>
          <cell r="B228" t="str">
            <v>SAN JUAN COUNTY</v>
          </cell>
          <cell r="C228">
            <v>585452</v>
          </cell>
          <cell r="D228">
            <v>6.0615E-3</v>
          </cell>
        </row>
        <row r="229">
          <cell r="A229">
            <v>4390</v>
          </cell>
          <cell r="B229" t="str">
            <v>SAN JUAN WATER COMMISSION</v>
          </cell>
          <cell r="C229">
            <v>5980</v>
          </cell>
          <cell r="D229">
            <v>6.19E-5</v>
          </cell>
        </row>
        <row r="230">
          <cell r="A230">
            <v>3270</v>
          </cell>
          <cell r="B230" t="str">
            <v>SAN MIGUEL COUNTY</v>
          </cell>
          <cell r="C230">
            <v>83751</v>
          </cell>
          <cell r="D230">
            <v>8.6709999999999999E-4</v>
          </cell>
        </row>
        <row r="231">
          <cell r="A231">
            <v>29303</v>
          </cell>
          <cell r="B231" t="str">
            <v>SANDOVAL ACADEMY OF BILINGUAL EDUCATION</v>
          </cell>
          <cell r="C231">
            <v>19818</v>
          </cell>
          <cell r="D231">
            <v>2.052E-4</v>
          </cell>
        </row>
        <row r="232">
          <cell r="A232">
            <v>3280</v>
          </cell>
          <cell r="B232" t="str">
            <v>SANDOVAL COUNTY</v>
          </cell>
          <cell r="C232">
            <v>411989</v>
          </cell>
          <cell r="D232">
            <v>4.2655999999999996E-3</v>
          </cell>
        </row>
        <row r="233">
          <cell r="A233">
            <v>4260</v>
          </cell>
          <cell r="B233" t="str">
            <v>SANTA FE CIVIC HOUSING AUTHORITY</v>
          </cell>
          <cell r="C233">
            <v>30244</v>
          </cell>
          <cell r="D233">
            <v>3.1310000000000002E-4</v>
          </cell>
        </row>
        <row r="234">
          <cell r="A234">
            <v>1003</v>
          </cell>
          <cell r="B234" t="str">
            <v>SANTA FE COMMUNITY COLLEGE</v>
          </cell>
          <cell r="C234">
            <v>422420</v>
          </cell>
          <cell r="D234">
            <v>4.3736000000000001E-3</v>
          </cell>
        </row>
        <row r="235">
          <cell r="A235">
            <v>3290</v>
          </cell>
          <cell r="B235" t="str">
            <v>SANTA FE COUNTY</v>
          </cell>
          <cell r="C235">
            <v>899135</v>
          </cell>
          <cell r="D235">
            <v>9.3092999999999995E-3</v>
          </cell>
        </row>
        <row r="236">
          <cell r="A236">
            <v>1002</v>
          </cell>
          <cell r="B236" t="str">
            <v>SANTA FE PUBLIC SCHOOLS</v>
          </cell>
          <cell r="C236">
            <v>1683424</v>
          </cell>
          <cell r="D236">
            <v>1.7429400000000001E-2</v>
          </cell>
        </row>
        <row r="237">
          <cell r="A237">
            <v>4270</v>
          </cell>
          <cell r="B237" t="str">
            <v>SANTA FE SOLID WASTE MANAGEMENT AGENCY</v>
          </cell>
          <cell r="C237">
            <v>36549</v>
          </cell>
          <cell r="D237">
            <v>3.7839999999999998E-4</v>
          </cell>
        </row>
        <row r="238">
          <cell r="A238">
            <v>24072</v>
          </cell>
          <cell r="B238" t="str">
            <v>SANTA ROSA CONSOLIDATED SCHOOLS</v>
          </cell>
          <cell r="C238">
            <v>119516</v>
          </cell>
          <cell r="D238">
            <v>1.2374E-3</v>
          </cell>
        </row>
        <row r="239">
          <cell r="A239">
            <v>14366</v>
          </cell>
          <cell r="B239" t="str">
            <v>SCHOOL OF DREAMS ACADEMY</v>
          </cell>
          <cell r="C239">
            <v>54471</v>
          </cell>
          <cell r="D239">
            <v>5.6400000000000005E-4</v>
          </cell>
        </row>
        <row r="240">
          <cell r="A240">
            <v>4317</v>
          </cell>
          <cell r="B240" t="str">
            <v>SIDNEY GUTIERREZ MIDDLE SCHOOL</v>
          </cell>
          <cell r="C240">
            <v>20578</v>
          </cell>
          <cell r="D240">
            <v>2.131E-4</v>
          </cell>
        </row>
        <row r="241">
          <cell r="A241">
            <v>32120</v>
          </cell>
          <cell r="B241" t="str">
            <v>SIEMBRA LEADERSHIP CHARTER SCHOOL</v>
          </cell>
          <cell r="C241">
            <v>24067</v>
          </cell>
          <cell r="D241">
            <v>2.4919999999999999E-4</v>
          </cell>
        </row>
        <row r="242">
          <cell r="A242">
            <v>3300</v>
          </cell>
          <cell r="B242" t="str">
            <v xml:space="preserve">SIERRA COUNTY </v>
          </cell>
          <cell r="C242">
            <v>58206</v>
          </cell>
          <cell r="D242">
            <v>6.0260000000000001E-4</v>
          </cell>
        </row>
        <row r="243">
          <cell r="A243">
            <v>8026</v>
          </cell>
          <cell r="B243" t="str">
            <v>SILVER CITY CONSOLIDATED SCHOOLS</v>
          </cell>
          <cell r="C243">
            <v>327851</v>
          </cell>
          <cell r="D243">
            <v>3.3944000000000001E-3</v>
          </cell>
        </row>
        <row r="244">
          <cell r="A244">
            <v>32119</v>
          </cell>
          <cell r="B244" t="str">
            <v>SIX DIRECTIONS INDIGENOUS SCHOOL</v>
          </cell>
          <cell r="C244">
            <v>11112</v>
          </cell>
          <cell r="D244">
            <v>1.15E-4</v>
          </cell>
        </row>
        <row r="245">
          <cell r="A245">
            <v>25076</v>
          </cell>
          <cell r="B245" t="str">
            <v>SOCORRO CONSOLIDATED SCHOOLS</v>
          </cell>
          <cell r="C245">
            <v>198060</v>
          </cell>
          <cell r="D245">
            <v>2.0506000000000001E-3</v>
          </cell>
        </row>
        <row r="246">
          <cell r="A246">
            <v>2440</v>
          </cell>
          <cell r="B246" t="str">
            <v>SOLARE COLLEGIATE CHARTER</v>
          </cell>
          <cell r="C246">
            <v>19351</v>
          </cell>
          <cell r="D246">
            <v>2.0039999999999999E-4</v>
          </cell>
        </row>
        <row r="247">
          <cell r="A247">
            <v>2309</v>
          </cell>
          <cell r="B247" t="str">
            <v>SOUTH VALLEY ACADEMY</v>
          </cell>
          <cell r="C247">
            <v>84420</v>
          </cell>
          <cell r="D247">
            <v>8.7399999999999999E-4</v>
          </cell>
        </row>
        <row r="248">
          <cell r="A248">
            <v>2396</v>
          </cell>
          <cell r="B248" t="str">
            <v>SOUTH VALLEY PREPARATORY SCHOOL</v>
          </cell>
          <cell r="C248">
            <v>22420</v>
          </cell>
          <cell r="D248">
            <v>2.321E-4</v>
          </cell>
        </row>
        <row r="249">
          <cell r="A249">
            <v>3380</v>
          </cell>
          <cell r="B249" t="str">
            <v xml:space="preserve">SOUTHERN SANDOVAL COUNTY ARROYO FLOOD CONTROL AUTHORITY </v>
          </cell>
          <cell r="C249">
            <v>18098</v>
          </cell>
          <cell r="D249">
            <v>1.874E-4</v>
          </cell>
        </row>
        <row r="250">
          <cell r="A250">
            <v>2420</v>
          </cell>
          <cell r="B250" t="str">
            <v>SOUTHWEST AERONAUTICS MATH &amp; SCIENCE ACADEMY</v>
          </cell>
          <cell r="C250">
            <v>25002</v>
          </cell>
          <cell r="D250">
            <v>2.589E-4</v>
          </cell>
        </row>
        <row r="251">
          <cell r="A251">
            <v>2740</v>
          </cell>
          <cell r="B251" t="str">
            <v>SOUTHWEST NEW MEXICO COUNCIL OF GOVERNMENTS</v>
          </cell>
          <cell r="C251">
            <v>4156</v>
          </cell>
          <cell r="D251">
            <v>4.3000000000000002E-5</v>
          </cell>
        </row>
        <row r="252">
          <cell r="A252">
            <v>2346</v>
          </cell>
          <cell r="B252" t="str">
            <v>SOUTHWEST PRIMARY LEARNING CENTER</v>
          </cell>
          <cell r="C252">
            <v>17818</v>
          </cell>
          <cell r="D252">
            <v>1.8450000000000001E-4</v>
          </cell>
        </row>
        <row r="253">
          <cell r="A253">
            <v>21150</v>
          </cell>
          <cell r="B253" t="str">
            <v>SOUTHWEST REGIONAL EDUCATION #10</v>
          </cell>
          <cell r="C253">
            <v>44391</v>
          </cell>
          <cell r="D253">
            <v>4.596E-4</v>
          </cell>
        </row>
        <row r="254">
          <cell r="A254">
            <v>32098</v>
          </cell>
          <cell r="B254" t="str">
            <v>SOUTHWEST SECONDARY LEARNING CENTER</v>
          </cell>
          <cell r="C254">
            <v>21936</v>
          </cell>
          <cell r="D254">
            <v>2.2709999999999999E-4</v>
          </cell>
        </row>
        <row r="255">
          <cell r="A255">
            <v>4520</v>
          </cell>
          <cell r="B255" t="str">
            <v>SPRINGER HOUSING AUTHORITY</v>
          </cell>
          <cell r="C255">
            <v>2954</v>
          </cell>
          <cell r="D255">
            <v>3.0599999999999998E-5</v>
          </cell>
        </row>
        <row r="256">
          <cell r="A256">
            <v>9030</v>
          </cell>
          <cell r="B256" t="str">
            <v>SPRINGER MUNICIPAL SCHOOLS</v>
          </cell>
          <cell r="C256">
            <v>28339</v>
          </cell>
          <cell r="D256">
            <v>2.9339999999999998E-4</v>
          </cell>
        </row>
        <row r="257">
          <cell r="A257">
            <v>20265</v>
          </cell>
          <cell r="B257" t="str">
            <v>TAOS ACADEMY CHARTER SCHOOL</v>
          </cell>
          <cell r="C257">
            <v>26657</v>
          </cell>
          <cell r="D257">
            <v>2.7599999999999999E-4</v>
          </cell>
        </row>
        <row r="258">
          <cell r="A258">
            <v>20307</v>
          </cell>
          <cell r="B258" t="str">
            <v>TAOS CHARTER SCHOOL</v>
          </cell>
          <cell r="C258">
            <v>26082</v>
          </cell>
          <cell r="D258">
            <v>2.7E-4</v>
          </cell>
        </row>
        <row r="259">
          <cell r="A259">
            <v>3320</v>
          </cell>
          <cell r="B259" t="str">
            <v>TAOS COUNTY</v>
          </cell>
          <cell r="C259">
            <v>193515</v>
          </cell>
          <cell r="D259">
            <v>2.0035999999999999E-3</v>
          </cell>
        </row>
        <row r="260">
          <cell r="A260">
            <v>20415</v>
          </cell>
          <cell r="B260" t="str">
            <v>TAOS INTEGRATED SCHOOL OF THE ARTS</v>
          </cell>
          <cell r="C260">
            <v>18052</v>
          </cell>
          <cell r="D260">
            <v>1.8689999999999999E-4</v>
          </cell>
        </row>
        <row r="261">
          <cell r="A261">
            <v>20435</v>
          </cell>
          <cell r="B261" t="str">
            <v>TAOS INTERNATIONAL SCHOOL</v>
          </cell>
          <cell r="C261">
            <v>22058</v>
          </cell>
          <cell r="D261">
            <v>2.284E-4</v>
          </cell>
        </row>
        <row r="262">
          <cell r="A262">
            <v>20062</v>
          </cell>
          <cell r="B262" t="str">
            <v>TAOS MUNICIPAL SCHOOLS</v>
          </cell>
          <cell r="C262">
            <v>302965</v>
          </cell>
          <cell r="D262">
            <v>3.1367999999999999E-3</v>
          </cell>
        </row>
        <row r="263">
          <cell r="A263">
            <v>6020</v>
          </cell>
          <cell r="B263" t="str">
            <v>TATUM MUNICIPAL SCHOOLS</v>
          </cell>
          <cell r="C263">
            <v>57350</v>
          </cell>
          <cell r="D263">
            <v>5.9380000000000001E-4</v>
          </cell>
        </row>
        <row r="264">
          <cell r="A264">
            <v>2394</v>
          </cell>
          <cell r="B264" t="str">
            <v>TECH LEADERSHIP HIGH SCHOOL</v>
          </cell>
          <cell r="C264">
            <v>30049</v>
          </cell>
          <cell r="D264">
            <v>3.1110000000000003E-4</v>
          </cell>
        </row>
        <row r="265">
          <cell r="A265">
            <v>5015</v>
          </cell>
          <cell r="B265" t="str">
            <v>TEXICO MUNICIPAL SCHOOLS</v>
          </cell>
          <cell r="C265">
            <v>81594</v>
          </cell>
          <cell r="D265">
            <v>8.4480000000000004E-4</v>
          </cell>
        </row>
        <row r="266">
          <cell r="A266">
            <v>29408</v>
          </cell>
          <cell r="B266" t="str">
            <v>THE ASK ACADEMY</v>
          </cell>
          <cell r="C266">
            <v>54307</v>
          </cell>
          <cell r="D266">
            <v>5.6229999999999995E-4</v>
          </cell>
        </row>
        <row r="267">
          <cell r="A267">
            <v>2413</v>
          </cell>
          <cell r="B267" t="str">
            <v>THE GREAT ACADEMY</v>
          </cell>
          <cell r="C267">
            <v>13973</v>
          </cell>
          <cell r="D267">
            <v>1.4469999999999999E-4</v>
          </cell>
        </row>
        <row r="268">
          <cell r="A268">
            <v>1398</v>
          </cell>
          <cell r="B268" t="str">
            <v>THE MASTERS PROGRAM</v>
          </cell>
          <cell r="C268">
            <v>25180</v>
          </cell>
          <cell r="D268">
            <v>2.6069999999999999E-4</v>
          </cell>
        </row>
        <row r="269">
          <cell r="A269">
            <v>2366</v>
          </cell>
          <cell r="B269" t="str">
            <v>THE NEW AMERICA SCHOOL</v>
          </cell>
          <cell r="C269">
            <v>26506</v>
          </cell>
          <cell r="D269">
            <v>2.744E-4</v>
          </cell>
        </row>
        <row r="270">
          <cell r="A270">
            <v>7421</v>
          </cell>
          <cell r="B270" t="str">
            <v>THE NEW AMERICA SCHOOL - LAS CRUCES</v>
          </cell>
          <cell r="C270">
            <v>20444</v>
          </cell>
          <cell r="D270">
            <v>2.117E-4</v>
          </cell>
        </row>
        <row r="271">
          <cell r="A271">
            <v>2370</v>
          </cell>
          <cell r="B271" t="str">
            <v>TIERRA ADENTRO OF NEW MEXICO</v>
          </cell>
          <cell r="C271">
            <v>38771</v>
          </cell>
          <cell r="D271">
            <v>4.014E-4</v>
          </cell>
        </row>
        <row r="272">
          <cell r="A272">
            <v>32094</v>
          </cell>
          <cell r="B272" t="str">
            <v>TIERRA ENCANTADA CHARTER HIGH SCHOOL</v>
          </cell>
          <cell r="C272">
            <v>39514</v>
          </cell>
          <cell r="D272">
            <v>4.0910000000000002E-4</v>
          </cell>
        </row>
        <row r="273">
          <cell r="A273">
            <v>2790</v>
          </cell>
          <cell r="B273" t="str">
            <v>TIERRA Y MONTES SOIL AND WATER CONSERVATION DISTRICT</v>
          </cell>
          <cell r="C273">
            <v>4377</v>
          </cell>
          <cell r="D273">
            <v>4.5300000000000003E-5</v>
          </cell>
        </row>
        <row r="274">
          <cell r="A274">
            <v>3330</v>
          </cell>
          <cell r="B274" t="str">
            <v>TORRANCE COUNTY</v>
          </cell>
          <cell r="C274">
            <v>87672</v>
          </cell>
          <cell r="D274">
            <v>9.077E-4</v>
          </cell>
        </row>
        <row r="275">
          <cell r="A275">
            <v>2080</v>
          </cell>
          <cell r="B275" t="str">
            <v>TOWN OF BERNALILLO</v>
          </cell>
          <cell r="C275">
            <v>100031</v>
          </cell>
          <cell r="D275">
            <v>1.0357000000000001E-3</v>
          </cell>
        </row>
        <row r="276">
          <cell r="A276">
            <v>4290</v>
          </cell>
          <cell r="B276" t="str">
            <v>TOWN OF EDGEWOOD</v>
          </cell>
          <cell r="C276">
            <v>32929</v>
          </cell>
          <cell r="D276">
            <v>3.4089999999999999E-4</v>
          </cell>
        </row>
        <row r="277">
          <cell r="A277">
            <v>2270</v>
          </cell>
          <cell r="B277" t="str">
            <v>TOWN OF ELIDA</v>
          </cell>
          <cell r="C277">
            <v>1877</v>
          </cell>
          <cell r="D277">
            <v>1.9400000000000001E-5</v>
          </cell>
        </row>
        <row r="278">
          <cell r="A278">
            <v>2300</v>
          </cell>
          <cell r="B278" t="str">
            <v>TOWN OF ESTANCIA</v>
          </cell>
          <cell r="C278">
            <v>8833</v>
          </cell>
          <cell r="D278">
            <v>9.1500000000000001E-5</v>
          </cell>
        </row>
        <row r="279">
          <cell r="A279">
            <v>2720</v>
          </cell>
          <cell r="B279" t="str">
            <v>TOWN OF SILVER CITY</v>
          </cell>
          <cell r="C279">
            <v>130272</v>
          </cell>
          <cell r="D279">
            <v>1.3488E-3</v>
          </cell>
        </row>
        <row r="280">
          <cell r="A280">
            <v>2750</v>
          </cell>
          <cell r="B280" t="str">
            <v>TOWN OF SPRINGER</v>
          </cell>
          <cell r="C280">
            <v>8565</v>
          </cell>
          <cell r="D280">
            <v>8.8700000000000001E-5</v>
          </cell>
        </row>
        <row r="281">
          <cell r="A281">
            <v>2770</v>
          </cell>
          <cell r="B281" t="str">
            <v>TOWN OF TAOS</v>
          </cell>
          <cell r="C281">
            <v>100243</v>
          </cell>
          <cell r="D281">
            <v>1.0379E-3</v>
          </cell>
        </row>
        <row r="282">
          <cell r="A282">
            <v>32106</v>
          </cell>
          <cell r="B282" t="str">
            <v>TOWN OF TATUM</v>
          </cell>
          <cell r="C282">
            <v>15491</v>
          </cell>
          <cell r="D282">
            <v>1.604E-4</v>
          </cell>
        </row>
        <row r="283">
          <cell r="A283">
            <v>4180</v>
          </cell>
          <cell r="B283" t="str">
            <v>TRUTH OR CONSEQUENCES HOUSING AUTHORITY</v>
          </cell>
          <cell r="C283">
            <v>15224</v>
          </cell>
          <cell r="D283">
            <v>1.5760000000000001E-4</v>
          </cell>
        </row>
        <row r="284">
          <cell r="A284">
            <v>21063</v>
          </cell>
          <cell r="B284" t="str">
            <v>TRUTH OR CONSEQUENCES MUNICIPAL SCHOOLS</v>
          </cell>
          <cell r="C284">
            <v>180687</v>
          </cell>
          <cell r="D284">
            <v>1.8707999999999999E-3</v>
          </cell>
        </row>
        <row r="285">
          <cell r="A285">
            <v>10033</v>
          </cell>
          <cell r="B285" t="str">
            <v>TUCUMCARI PUBLIC SCHOOLS</v>
          </cell>
          <cell r="C285">
            <v>128026</v>
          </cell>
          <cell r="D285">
            <v>1.3255000000000001E-3</v>
          </cell>
        </row>
        <row r="286">
          <cell r="A286">
            <v>15049</v>
          </cell>
          <cell r="B286" t="str">
            <v>TULAROSA MUNICIPAL SCHOOLS</v>
          </cell>
          <cell r="C286">
            <v>127740</v>
          </cell>
          <cell r="D286">
            <v>1.3225999999999999E-3</v>
          </cell>
        </row>
        <row r="287">
          <cell r="A287">
            <v>1315</v>
          </cell>
          <cell r="B287" t="str">
            <v>TURQUOISE TRAIL CHARTER SCHOOL</v>
          </cell>
          <cell r="C287">
            <v>73963</v>
          </cell>
          <cell r="D287">
            <v>7.6579999999999997E-4</v>
          </cell>
        </row>
        <row r="288">
          <cell r="A288">
            <v>3340</v>
          </cell>
          <cell r="B288" t="str">
            <v>UNION COUNTY</v>
          </cell>
          <cell r="C288">
            <v>33043</v>
          </cell>
          <cell r="D288">
            <v>3.4210000000000002E-4</v>
          </cell>
        </row>
        <row r="289">
          <cell r="A289">
            <v>3350</v>
          </cell>
          <cell r="B289" t="str">
            <v>VALENCIA COUNTY</v>
          </cell>
          <cell r="C289">
            <v>164430</v>
          </cell>
          <cell r="D289">
            <v>1.7024E-3</v>
          </cell>
        </row>
        <row r="290">
          <cell r="A290">
            <v>24073</v>
          </cell>
          <cell r="B290" t="str">
            <v>VAUGHN MUNICIPAL SCHOOLS</v>
          </cell>
          <cell r="C290">
            <v>23011</v>
          </cell>
          <cell r="D290">
            <v>2.3819999999999999E-4</v>
          </cell>
        </row>
        <row r="291">
          <cell r="A291">
            <v>2100</v>
          </cell>
          <cell r="B291" t="str">
            <v>VILLAGE OF BOSQUE FARMS</v>
          </cell>
          <cell r="C291">
            <v>27903</v>
          </cell>
          <cell r="D291">
            <v>2.8889999999999997E-4</v>
          </cell>
        </row>
        <row r="292">
          <cell r="A292">
            <v>2130</v>
          </cell>
          <cell r="B292" t="str">
            <v>VILLAGE OF CHAMA</v>
          </cell>
          <cell r="C292">
            <v>9169</v>
          </cell>
          <cell r="D292">
            <v>9.4900000000000003E-5</v>
          </cell>
        </row>
        <row r="293">
          <cell r="A293">
            <v>32099</v>
          </cell>
          <cell r="B293" t="str">
            <v>VILLAGE OF FT SUMNER</v>
          </cell>
          <cell r="C293">
            <v>9191</v>
          </cell>
          <cell r="D293">
            <v>9.5199999999999997E-5</v>
          </cell>
        </row>
        <row r="294">
          <cell r="A294">
            <v>32100</v>
          </cell>
          <cell r="B294" t="str">
            <v>VILLAGE OF HATCH</v>
          </cell>
          <cell r="C294">
            <v>20382</v>
          </cell>
          <cell r="D294">
            <v>2.1100000000000001E-4</v>
          </cell>
        </row>
        <row r="295">
          <cell r="A295">
            <v>32101</v>
          </cell>
          <cell r="B295" t="str">
            <v xml:space="preserve">VILLAGE OF JEMEZ SPRINGS </v>
          </cell>
          <cell r="C295">
            <v>1001</v>
          </cell>
          <cell r="D295">
            <v>1.04E-5</v>
          </cell>
        </row>
        <row r="296">
          <cell r="A296">
            <v>32102</v>
          </cell>
          <cell r="B296" t="str">
            <v>VILLAGE OF LOGAN</v>
          </cell>
          <cell r="C296">
            <v>12132</v>
          </cell>
          <cell r="D296">
            <v>1.2559999999999999E-4</v>
          </cell>
        </row>
        <row r="297">
          <cell r="A297">
            <v>2880</v>
          </cell>
          <cell r="B297" t="str">
            <v>VILLAGE OF MELROSE</v>
          </cell>
          <cell r="C297">
            <v>4104</v>
          </cell>
          <cell r="D297">
            <v>4.2500000000000003E-5</v>
          </cell>
        </row>
        <row r="298">
          <cell r="A298">
            <v>2490</v>
          </cell>
          <cell r="B298" t="str">
            <v>VILLAGE OF MILAN</v>
          </cell>
          <cell r="C298">
            <v>27291</v>
          </cell>
          <cell r="D298">
            <v>2.8259999999999998E-4</v>
          </cell>
        </row>
        <row r="299">
          <cell r="A299">
            <v>2530</v>
          </cell>
          <cell r="B299" t="str">
            <v>VILLAGE OF PECOS</v>
          </cell>
          <cell r="C299">
            <v>2948</v>
          </cell>
          <cell r="D299">
            <v>3.0499999999999999E-5</v>
          </cell>
        </row>
        <row r="300">
          <cell r="A300">
            <v>2560</v>
          </cell>
          <cell r="B300" t="str">
            <v>VILLAGE OF QUESTA</v>
          </cell>
          <cell r="C300">
            <v>8741</v>
          </cell>
          <cell r="D300">
            <v>9.0500000000000004E-5</v>
          </cell>
        </row>
        <row r="301">
          <cell r="A301">
            <v>2610</v>
          </cell>
          <cell r="B301" t="str">
            <v>VILLAGE OF RESERVE</v>
          </cell>
          <cell r="C301">
            <v>3352</v>
          </cell>
          <cell r="D301">
            <v>3.4700000000000003E-5</v>
          </cell>
        </row>
        <row r="302">
          <cell r="A302">
            <v>2800</v>
          </cell>
          <cell r="B302" t="str">
            <v>VILLAGE OF TIJERAS</v>
          </cell>
          <cell r="C302">
            <v>8476</v>
          </cell>
          <cell r="D302">
            <v>8.7800000000000006E-5</v>
          </cell>
        </row>
        <row r="303">
          <cell r="A303">
            <v>20317</v>
          </cell>
          <cell r="B303" t="str">
            <v>VISTA GRANDE CHARTER HIGH SCHOOL</v>
          </cell>
          <cell r="C303">
            <v>14060</v>
          </cell>
          <cell r="D303">
            <v>1.4559999999999999E-4</v>
          </cell>
        </row>
        <row r="304">
          <cell r="A304">
            <v>2442</v>
          </cell>
          <cell r="B304" t="str">
            <v>VOZ COLLEGIATE PREP</v>
          </cell>
          <cell r="C304">
            <v>1617</v>
          </cell>
          <cell r="D304">
            <v>1.6699999999999999E-5</v>
          </cell>
        </row>
        <row r="305">
          <cell r="A305">
            <v>30090</v>
          </cell>
          <cell r="B305" t="str">
            <v>WAGON MOUND PUBLIC SCHOOLS</v>
          </cell>
          <cell r="C305">
            <v>31021</v>
          </cell>
          <cell r="D305">
            <v>3.212E-4</v>
          </cell>
        </row>
        <row r="306">
          <cell r="A306">
            <v>29330</v>
          </cell>
          <cell r="B306" t="str">
            <v>WALATOWA CHARTER HIGH SCHOOL</v>
          </cell>
          <cell r="C306">
            <v>11028</v>
          </cell>
          <cell r="D306">
            <v>1.142E-4</v>
          </cell>
        </row>
        <row r="307">
          <cell r="A307">
            <v>12038</v>
          </cell>
          <cell r="B307" t="str">
            <v>WEST LAS VEGAS PUBLIC SCHOOLS</v>
          </cell>
          <cell r="C307">
            <v>240592</v>
          </cell>
          <cell r="D307">
            <v>2.4910000000000002E-3</v>
          </cell>
        </row>
        <row r="308">
          <cell r="A308">
            <v>8099</v>
          </cell>
          <cell r="B308" t="str">
            <v>WESTERN NEW MEXICO UNIVERSITY</v>
          </cell>
          <cell r="C308">
            <v>377862</v>
          </cell>
          <cell r="D308">
            <v>3.9122000000000002E-3</v>
          </cell>
        </row>
        <row r="309">
          <cell r="A309">
            <v>2417</v>
          </cell>
          <cell r="B309" t="str">
            <v>WILLIAM W. &amp; JOSEPHINE DORN CHARTER SCHOOL</v>
          </cell>
          <cell r="C309">
            <v>8103</v>
          </cell>
          <cell r="D309">
            <v>8.3900000000000006E-5</v>
          </cell>
        </row>
        <row r="310">
          <cell r="A310">
            <v>13142</v>
          </cell>
          <cell r="B310" t="str">
            <v>ZUNI PUBLIC SCHOOLS</v>
          </cell>
          <cell r="C310">
            <v>224847</v>
          </cell>
          <cell r="D310">
            <v>2.3280000000000002E-3</v>
          </cell>
        </row>
      </sheetData>
      <sheetData sheetId="8"/>
      <sheetData sheetId="9"/>
      <sheetData sheetId="10"/>
      <sheetData sheetId="11"/>
      <sheetData sheetId="12"/>
      <sheetData sheetId="13">
        <row r="8">
          <cell r="A8">
            <v>1341</v>
          </cell>
          <cell r="X8">
            <v>79442</v>
          </cell>
          <cell r="Z8">
            <v>6519527</v>
          </cell>
          <cell r="AA8">
            <v>6887129</v>
          </cell>
        </row>
        <row r="9">
          <cell r="A9">
            <v>2308</v>
          </cell>
          <cell r="X9">
            <v>87828</v>
          </cell>
          <cell r="Z9">
            <v>403809</v>
          </cell>
          <cell r="AA9">
            <v>32577</v>
          </cell>
        </row>
        <row r="10">
          <cell r="A10">
            <v>2340</v>
          </cell>
          <cell r="X10">
            <v>-6331</v>
          </cell>
          <cell r="Z10">
            <v>47841</v>
          </cell>
          <cell r="AA10">
            <v>61160</v>
          </cell>
        </row>
        <row r="11">
          <cell r="A11">
            <v>1301</v>
          </cell>
          <cell r="X11">
            <v>56387</v>
          </cell>
          <cell r="Z11">
            <v>288060</v>
          </cell>
          <cell r="AA11">
            <v>26765</v>
          </cell>
        </row>
        <row r="12">
          <cell r="A12">
            <v>2390</v>
          </cell>
          <cell r="X12">
            <v>-83484</v>
          </cell>
          <cell r="Z12">
            <v>90345</v>
          </cell>
          <cell r="AA12">
            <v>283704</v>
          </cell>
        </row>
        <row r="13">
          <cell r="A13">
            <v>2441</v>
          </cell>
          <cell r="X13">
            <v>65520</v>
          </cell>
          <cell r="Z13">
            <v>326292</v>
          </cell>
          <cell r="AA13">
            <v>0</v>
          </cell>
        </row>
        <row r="14">
          <cell r="A14">
            <v>15046</v>
          </cell>
          <cell r="X14">
            <v>216758</v>
          </cell>
          <cell r="Z14">
            <v>1502372</v>
          </cell>
          <cell r="AA14">
            <v>426475</v>
          </cell>
        </row>
        <row r="15">
          <cell r="A15">
            <v>4380</v>
          </cell>
          <cell r="X15">
            <v>-624128</v>
          </cell>
          <cell r="Z15">
            <v>292413</v>
          </cell>
          <cell r="AA15">
            <v>2271284</v>
          </cell>
        </row>
        <row r="16">
          <cell r="A16">
            <v>2435</v>
          </cell>
          <cell r="X16">
            <v>127885</v>
          </cell>
          <cell r="Z16">
            <v>455708</v>
          </cell>
          <cell r="AA16">
            <v>0</v>
          </cell>
        </row>
        <row r="17">
          <cell r="A17">
            <v>4560</v>
          </cell>
          <cell r="X17">
            <v>-59284</v>
          </cell>
          <cell r="Z17">
            <v>209327</v>
          </cell>
          <cell r="AA17">
            <v>243426</v>
          </cell>
        </row>
        <row r="18">
          <cell r="A18">
            <v>2341</v>
          </cell>
          <cell r="X18">
            <v>-42870</v>
          </cell>
          <cell r="Z18">
            <v>27150</v>
          </cell>
          <cell r="AA18">
            <v>159542</v>
          </cell>
        </row>
        <row r="19">
          <cell r="A19">
            <v>4580</v>
          </cell>
          <cell r="X19">
            <v>304307</v>
          </cell>
          <cell r="Z19">
            <v>859063</v>
          </cell>
          <cell r="AA19">
            <v>87280</v>
          </cell>
        </row>
        <row r="20">
          <cell r="A20">
            <v>2003</v>
          </cell>
          <cell r="X20">
            <v>606974</v>
          </cell>
          <cell r="Z20">
            <v>16038291</v>
          </cell>
          <cell r="AA20">
            <v>13042540</v>
          </cell>
        </row>
        <row r="21">
          <cell r="A21">
            <v>2412</v>
          </cell>
          <cell r="X21">
            <v>444332</v>
          </cell>
          <cell r="Z21">
            <v>1775103</v>
          </cell>
          <cell r="AA21">
            <v>0</v>
          </cell>
        </row>
        <row r="22">
          <cell r="A22">
            <v>2402</v>
          </cell>
          <cell r="X22">
            <v>-41297</v>
          </cell>
          <cell r="Z22">
            <v>202990</v>
          </cell>
          <cell r="AA22">
            <v>192384</v>
          </cell>
        </row>
        <row r="23">
          <cell r="A23">
            <v>2361</v>
          </cell>
          <cell r="X23">
            <v>-15769</v>
          </cell>
          <cell r="Z23">
            <v>39956</v>
          </cell>
          <cell r="AA23">
            <v>129308</v>
          </cell>
        </row>
        <row r="24">
          <cell r="A24">
            <v>8347</v>
          </cell>
          <cell r="X24">
            <v>3602</v>
          </cell>
          <cell r="Z24">
            <v>92217</v>
          </cell>
          <cell r="AA24">
            <v>95351</v>
          </cell>
        </row>
        <row r="25">
          <cell r="A25">
            <v>2356</v>
          </cell>
          <cell r="X25">
            <v>98957</v>
          </cell>
          <cell r="Z25">
            <v>278589</v>
          </cell>
          <cell r="AA25">
            <v>0</v>
          </cell>
        </row>
        <row r="26">
          <cell r="A26">
            <v>7335</v>
          </cell>
          <cell r="X26">
            <v>-4827</v>
          </cell>
          <cell r="Z26">
            <v>31453</v>
          </cell>
          <cell r="AA26">
            <v>92480</v>
          </cell>
        </row>
        <row r="27">
          <cell r="A27">
            <v>575</v>
          </cell>
          <cell r="X27">
            <v>158912</v>
          </cell>
          <cell r="Z27">
            <v>555613</v>
          </cell>
          <cell r="AA27">
            <v>0</v>
          </cell>
        </row>
        <row r="28">
          <cell r="A28">
            <v>2303</v>
          </cell>
          <cell r="X28">
            <v>-78935</v>
          </cell>
          <cell r="Z28">
            <v>0</v>
          </cell>
          <cell r="AA28">
            <v>266647</v>
          </cell>
        </row>
        <row r="29">
          <cell r="A29">
            <v>20316</v>
          </cell>
          <cell r="X29">
            <v>19164</v>
          </cell>
          <cell r="Z29">
            <v>84241</v>
          </cell>
          <cell r="AA29">
            <v>0</v>
          </cell>
        </row>
        <row r="30">
          <cell r="A30">
            <v>23121</v>
          </cell>
          <cell r="X30">
            <v>-60138</v>
          </cell>
          <cell r="Z30">
            <v>0</v>
          </cell>
          <cell r="AA30">
            <v>211498</v>
          </cell>
        </row>
        <row r="31">
          <cell r="A31">
            <v>3004</v>
          </cell>
          <cell r="X31">
            <v>40493</v>
          </cell>
          <cell r="Z31">
            <v>538884</v>
          </cell>
          <cell r="AA31">
            <v>357572</v>
          </cell>
        </row>
        <row r="32">
          <cell r="A32">
            <v>16050</v>
          </cell>
          <cell r="X32">
            <v>-101835</v>
          </cell>
          <cell r="Z32">
            <v>392453</v>
          </cell>
          <cell r="AA32">
            <v>377171</v>
          </cell>
        </row>
        <row r="33">
          <cell r="A33">
            <v>14043</v>
          </cell>
          <cell r="X33">
            <v>-213129</v>
          </cell>
          <cell r="Z33">
            <v>1868476</v>
          </cell>
          <cell r="AA33">
            <v>2758817</v>
          </cell>
        </row>
        <row r="34">
          <cell r="A34">
            <v>3010</v>
          </cell>
          <cell r="X34">
            <v>333539</v>
          </cell>
          <cell r="Z34">
            <v>3514622</v>
          </cell>
          <cell r="AA34">
            <v>3049515</v>
          </cell>
        </row>
        <row r="35">
          <cell r="A35">
            <v>29086</v>
          </cell>
          <cell r="X35">
            <v>-174025</v>
          </cell>
          <cell r="Z35">
            <v>569571</v>
          </cell>
          <cell r="AA35">
            <v>1132659</v>
          </cell>
        </row>
        <row r="36">
          <cell r="A36">
            <v>16051</v>
          </cell>
          <cell r="X36">
            <v>128634</v>
          </cell>
          <cell r="Z36">
            <v>432161</v>
          </cell>
          <cell r="AA36">
            <v>0</v>
          </cell>
        </row>
        <row r="37">
          <cell r="A37">
            <v>26077</v>
          </cell>
          <cell r="X37">
            <v>24764</v>
          </cell>
          <cell r="Z37">
            <v>85914</v>
          </cell>
          <cell r="AA37">
            <v>64129</v>
          </cell>
        </row>
        <row r="38">
          <cell r="A38">
            <v>3005</v>
          </cell>
          <cell r="X38">
            <v>-622874</v>
          </cell>
          <cell r="Z38">
            <v>117263</v>
          </cell>
          <cell r="AA38">
            <v>2809579</v>
          </cell>
        </row>
        <row r="39">
          <cell r="A39">
            <v>26078</v>
          </cell>
          <cell r="X39">
            <v>8635</v>
          </cell>
          <cell r="Z39">
            <v>81989</v>
          </cell>
          <cell r="AA39">
            <v>71385</v>
          </cell>
        </row>
        <row r="40">
          <cell r="A40">
            <v>16053</v>
          </cell>
          <cell r="X40">
            <v>-86901</v>
          </cell>
          <cell r="Z40">
            <v>1714294</v>
          </cell>
          <cell r="AA40">
            <v>1178152</v>
          </cell>
        </row>
        <row r="41">
          <cell r="A41">
            <v>2123</v>
          </cell>
          <cell r="X41">
            <v>-607564</v>
          </cell>
          <cell r="Z41">
            <v>4603033</v>
          </cell>
          <cell r="AA41">
            <v>6658059</v>
          </cell>
        </row>
        <row r="42">
          <cell r="A42">
            <v>2150</v>
          </cell>
          <cell r="X42">
            <v>218785</v>
          </cell>
          <cell r="Z42">
            <v>998021</v>
          </cell>
          <cell r="AA42">
            <v>0</v>
          </cell>
        </row>
        <row r="43">
          <cell r="A43">
            <v>2336</v>
          </cell>
          <cell r="X43">
            <v>22072</v>
          </cell>
          <cell r="Z43">
            <v>102194</v>
          </cell>
          <cell r="AA43">
            <v>64936</v>
          </cell>
        </row>
        <row r="44">
          <cell r="A44">
            <v>17126</v>
          </cell>
          <cell r="X44">
            <v>-60896</v>
          </cell>
          <cell r="Z44">
            <v>86465</v>
          </cell>
          <cell r="AA44">
            <v>255864</v>
          </cell>
        </row>
        <row r="45">
          <cell r="A45">
            <v>3030</v>
          </cell>
          <cell r="X45">
            <v>-230371</v>
          </cell>
          <cell r="Z45">
            <v>0</v>
          </cell>
          <cell r="AA45">
            <v>872905</v>
          </cell>
        </row>
        <row r="46">
          <cell r="A46">
            <v>2353</v>
          </cell>
          <cell r="X46">
            <v>138388</v>
          </cell>
          <cell r="Z46">
            <v>486063</v>
          </cell>
          <cell r="AA46">
            <v>363062</v>
          </cell>
        </row>
        <row r="47">
          <cell r="A47">
            <v>3040</v>
          </cell>
          <cell r="X47">
            <v>-443950</v>
          </cell>
          <cell r="Z47">
            <v>0</v>
          </cell>
          <cell r="AA47">
            <v>977511</v>
          </cell>
        </row>
        <row r="48">
          <cell r="A48">
            <v>2367</v>
          </cell>
          <cell r="X48">
            <v>24376</v>
          </cell>
          <cell r="Z48">
            <v>246512</v>
          </cell>
          <cell r="AA48">
            <v>84215</v>
          </cell>
        </row>
        <row r="49">
          <cell r="A49">
            <v>9027</v>
          </cell>
          <cell r="X49">
            <v>106371</v>
          </cell>
          <cell r="Z49">
            <v>585544</v>
          </cell>
          <cell r="AA49">
            <v>235813</v>
          </cell>
        </row>
        <row r="50">
          <cell r="A50">
            <v>2010</v>
          </cell>
          <cell r="X50">
            <v>-105494</v>
          </cell>
          <cell r="Z50">
            <v>478279</v>
          </cell>
          <cell r="AA50">
            <v>1020602</v>
          </cell>
        </row>
        <row r="51">
          <cell r="A51">
            <v>2020</v>
          </cell>
          <cell r="X51">
            <v>-1849857</v>
          </cell>
          <cell r="Z51">
            <v>2503396</v>
          </cell>
          <cell r="AA51">
            <v>7274415</v>
          </cell>
        </row>
        <row r="52">
          <cell r="A52">
            <v>2040</v>
          </cell>
          <cell r="X52">
            <v>-56455</v>
          </cell>
          <cell r="Z52">
            <v>50970</v>
          </cell>
          <cell r="AA52">
            <v>266882</v>
          </cell>
        </row>
        <row r="53">
          <cell r="A53">
            <v>2060</v>
          </cell>
          <cell r="X53">
            <v>67897</v>
          </cell>
          <cell r="Z53">
            <v>721998</v>
          </cell>
          <cell r="AA53">
            <v>291953</v>
          </cell>
        </row>
        <row r="54">
          <cell r="A54">
            <v>2090</v>
          </cell>
          <cell r="X54">
            <v>-382698</v>
          </cell>
          <cell r="Z54">
            <v>0</v>
          </cell>
          <cell r="AA54">
            <v>887726</v>
          </cell>
        </row>
        <row r="55">
          <cell r="A55">
            <v>2110</v>
          </cell>
          <cell r="X55">
            <v>-13038</v>
          </cell>
          <cell r="Z55">
            <v>456869</v>
          </cell>
          <cell r="AA55">
            <v>937579</v>
          </cell>
        </row>
        <row r="56">
          <cell r="A56">
            <v>2180</v>
          </cell>
          <cell r="X56">
            <v>-147527</v>
          </cell>
          <cell r="Z56">
            <v>288150</v>
          </cell>
          <cell r="AA56">
            <v>920221</v>
          </cell>
        </row>
        <row r="57">
          <cell r="A57">
            <v>2210</v>
          </cell>
          <cell r="X57">
            <v>-152822</v>
          </cell>
          <cell r="Z57">
            <v>42349</v>
          </cell>
          <cell r="AA57">
            <v>491166</v>
          </cell>
        </row>
        <row r="58">
          <cell r="A58">
            <v>2290</v>
          </cell>
          <cell r="X58">
            <v>1397</v>
          </cell>
          <cell r="Z58">
            <v>244459</v>
          </cell>
          <cell r="AA58">
            <v>223886</v>
          </cell>
        </row>
        <row r="59">
          <cell r="A59">
            <v>2310</v>
          </cell>
          <cell r="X59">
            <v>-1095096</v>
          </cell>
          <cell r="Z59">
            <v>2310046</v>
          </cell>
          <cell r="AA59">
            <v>6463234</v>
          </cell>
        </row>
        <row r="60">
          <cell r="A60">
            <v>2330</v>
          </cell>
          <cell r="X60">
            <v>-396219</v>
          </cell>
          <cell r="Z60">
            <v>995824</v>
          </cell>
          <cell r="AA60">
            <v>3025442</v>
          </cell>
        </row>
        <row r="61">
          <cell r="A61">
            <v>2380</v>
          </cell>
          <cell r="X61">
            <v>208533</v>
          </cell>
          <cell r="Z61">
            <v>760142</v>
          </cell>
          <cell r="AA61">
            <v>0</v>
          </cell>
        </row>
        <row r="62">
          <cell r="A62">
            <v>2400</v>
          </cell>
          <cell r="X62">
            <v>57824</v>
          </cell>
          <cell r="Z62">
            <v>4186639</v>
          </cell>
          <cell r="AA62">
            <v>4882659</v>
          </cell>
        </row>
        <row r="63">
          <cell r="A63">
            <v>2410</v>
          </cell>
          <cell r="X63">
            <v>-246193</v>
          </cell>
          <cell r="Z63">
            <v>583332</v>
          </cell>
          <cell r="AA63">
            <v>995022</v>
          </cell>
        </row>
        <row r="64">
          <cell r="A64">
            <v>2500</v>
          </cell>
          <cell r="X64">
            <v>-4833</v>
          </cell>
          <cell r="Z64">
            <v>113064</v>
          </cell>
          <cell r="AA64">
            <v>177107</v>
          </cell>
        </row>
        <row r="65">
          <cell r="A65">
            <v>2550</v>
          </cell>
          <cell r="X65">
            <v>-124154</v>
          </cell>
          <cell r="Z65">
            <v>16226</v>
          </cell>
          <cell r="AA65">
            <v>457747</v>
          </cell>
        </row>
        <row r="66">
          <cell r="A66">
            <v>2570</v>
          </cell>
          <cell r="X66">
            <v>-92117</v>
          </cell>
          <cell r="Z66">
            <v>0</v>
          </cell>
          <cell r="AA66">
            <v>291033</v>
          </cell>
        </row>
        <row r="67">
          <cell r="A67">
            <v>2620</v>
          </cell>
          <cell r="X67">
            <v>-433081</v>
          </cell>
          <cell r="Z67">
            <v>558093</v>
          </cell>
          <cell r="AA67">
            <v>1479481</v>
          </cell>
        </row>
        <row r="68">
          <cell r="A68">
            <v>2630</v>
          </cell>
          <cell r="X68">
            <v>27436</v>
          </cell>
          <cell r="Z68">
            <v>813210</v>
          </cell>
          <cell r="AA68">
            <v>1610806</v>
          </cell>
        </row>
        <row r="69">
          <cell r="A69">
            <v>2690</v>
          </cell>
          <cell r="X69">
            <v>-1770036</v>
          </cell>
          <cell r="Z69">
            <v>1202752</v>
          </cell>
          <cell r="AA69">
            <v>9844155</v>
          </cell>
        </row>
        <row r="70">
          <cell r="A70">
            <v>2710</v>
          </cell>
          <cell r="X70">
            <v>-91713</v>
          </cell>
          <cell r="Z70">
            <v>16060</v>
          </cell>
          <cell r="AA70">
            <v>387057</v>
          </cell>
        </row>
        <row r="71">
          <cell r="A71">
            <v>2730</v>
          </cell>
          <cell r="X71">
            <v>-106168</v>
          </cell>
          <cell r="Z71">
            <v>113738</v>
          </cell>
          <cell r="AA71">
            <v>397117</v>
          </cell>
        </row>
        <row r="72">
          <cell r="A72">
            <v>2950</v>
          </cell>
          <cell r="X72">
            <v>123151</v>
          </cell>
          <cell r="Z72">
            <v>451242</v>
          </cell>
          <cell r="AA72">
            <v>304508</v>
          </cell>
        </row>
        <row r="73">
          <cell r="A73">
            <v>2760</v>
          </cell>
          <cell r="X73">
            <v>15458</v>
          </cell>
          <cell r="Z73">
            <v>280125</v>
          </cell>
          <cell r="AA73">
            <v>132676</v>
          </cell>
        </row>
        <row r="74">
          <cell r="A74">
            <v>2780</v>
          </cell>
          <cell r="X74">
            <v>197</v>
          </cell>
          <cell r="Z74">
            <v>31367</v>
          </cell>
          <cell r="AA74">
            <v>37593</v>
          </cell>
        </row>
        <row r="75">
          <cell r="A75">
            <v>2810</v>
          </cell>
          <cell r="X75">
            <v>-170446</v>
          </cell>
          <cell r="Z75">
            <v>242726</v>
          </cell>
          <cell r="AA75">
            <v>1187785</v>
          </cell>
        </row>
        <row r="76">
          <cell r="A76">
            <v>18056</v>
          </cell>
          <cell r="X76">
            <v>107745</v>
          </cell>
          <cell r="Z76">
            <v>516454</v>
          </cell>
          <cell r="AA76">
            <v>461107</v>
          </cell>
        </row>
        <row r="77">
          <cell r="A77">
            <v>15047</v>
          </cell>
          <cell r="X77">
            <v>79880</v>
          </cell>
          <cell r="Z77">
            <v>464254</v>
          </cell>
          <cell r="AA77">
            <v>86061</v>
          </cell>
        </row>
        <row r="78">
          <cell r="A78">
            <v>5012</v>
          </cell>
          <cell r="X78">
            <v>620945</v>
          </cell>
          <cell r="Z78">
            <v>2839344</v>
          </cell>
          <cell r="AA78">
            <v>469745</v>
          </cell>
        </row>
        <row r="79">
          <cell r="A79">
            <v>8024</v>
          </cell>
          <cell r="X79">
            <v>292494</v>
          </cell>
          <cell r="Z79">
            <v>1170841</v>
          </cell>
          <cell r="AA79">
            <v>782701</v>
          </cell>
        </row>
        <row r="80">
          <cell r="A80">
            <v>3050</v>
          </cell>
          <cell r="X80">
            <v>33274</v>
          </cell>
          <cell r="Z80">
            <v>241240</v>
          </cell>
          <cell r="AA80">
            <v>144963</v>
          </cell>
        </row>
        <row r="81">
          <cell r="A81">
            <v>2421</v>
          </cell>
          <cell r="X81">
            <v>-27856</v>
          </cell>
          <cell r="Z81">
            <v>29443</v>
          </cell>
          <cell r="AA81">
            <v>80700</v>
          </cell>
        </row>
        <row r="82">
          <cell r="A82">
            <v>26079</v>
          </cell>
          <cell r="X82">
            <v>-18962</v>
          </cell>
          <cell r="Z82">
            <v>23699</v>
          </cell>
          <cell r="AA82">
            <v>72577</v>
          </cell>
        </row>
        <row r="83">
          <cell r="A83">
            <v>2363</v>
          </cell>
          <cell r="X83">
            <v>4199</v>
          </cell>
          <cell r="Z83">
            <v>42851</v>
          </cell>
          <cell r="AA83">
            <v>13533</v>
          </cell>
        </row>
        <row r="84">
          <cell r="A84">
            <v>2364</v>
          </cell>
          <cell r="X84">
            <v>44426</v>
          </cell>
          <cell r="Z84">
            <v>371813</v>
          </cell>
          <cell r="AA84">
            <v>71035</v>
          </cell>
        </row>
        <row r="85">
          <cell r="A85">
            <v>25319</v>
          </cell>
          <cell r="X85">
            <v>32280</v>
          </cell>
          <cell r="Z85">
            <v>129093</v>
          </cell>
          <cell r="AA85">
            <v>0</v>
          </cell>
        </row>
        <row r="86">
          <cell r="A86">
            <v>29087</v>
          </cell>
          <cell r="X86">
            <v>231064</v>
          </cell>
          <cell r="Z86">
            <v>980177</v>
          </cell>
          <cell r="AA86">
            <v>203857</v>
          </cell>
        </row>
        <row r="87">
          <cell r="A87">
            <v>3060</v>
          </cell>
          <cell r="X87">
            <v>-147394</v>
          </cell>
          <cell r="Z87">
            <v>92296</v>
          </cell>
          <cell r="AA87">
            <v>719209</v>
          </cell>
        </row>
        <row r="88">
          <cell r="A88">
            <v>19301</v>
          </cell>
          <cell r="X88">
            <v>-45471</v>
          </cell>
          <cell r="Z88">
            <v>1210</v>
          </cell>
          <cell r="AA88">
            <v>149928</v>
          </cell>
        </row>
        <row r="89">
          <cell r="A89">
            <v>19059</v>
          </cell>
          <cell r="X89">
            <v>320469</v>
          </cell>
          <cell r="Z89">
            <v>2080180</v>
          </cell>
          <cell r="AA89">
            <v>722540</v>
          </cell>
        </row>
        <row r="90">
          <cell r="A90">
            <v>18057</v>
          </cell>
          <cell r="X90">
            <v>2800</v>
          </cell>
          <cell r="Z90">
            <v>32280</v>
          </cell>
          <cell r="AA90">
            <v>37586</v>
          </cell>
        </row>
        <row r="91">
          <cell r="A91">
            <v>4008</v>
          </cell>
          <cell r="X91">
            <v>-186683</v>
          </cell>
          <cell r="Z91">
            <v>132291</v>
          </cell>
          <cell r="AA91">
            <v>508598</v>
          </cell>
        </row>
        <row r="92">
          <cell r="A92">
            <v>2350</v>
          </cell>
          <cell r="X92">
            <v>-2481</v>
          </cell>
          <cell r="Z92">
            <v>203331</v>
          </cell>
          <cell r="AA92">
            <v>81634</v>
          </cell>
        </row>
        <row r="93">
          <cell r="A93">
            <v>11117</v>
          </cell>
          <cell r="X93">
            <v>-2210</v>
          </cell>
          <cell r="Z93">
            <v>47359</v>
          </cell>
          <cell r="AA93">
            <v>27299</v>
          </cell>
        </row>
        <row r="94">
          <cell r="A94">
            <v>16359</v>
          </cell>
          <cell r="X94">
            <v>15539</v>
          </cell>
          <cell r="Z94">
            <v>78808</v>
          </cell>
          <cell r="AA94">
            <v>25101</v>
          </cell>
        </row>
        <row r="95">
          <cell r="A95">
            <v>17115</v>
          </cell>
          <cell r="X95">
            <v>7481</v>
          </cell>
          <cell r="Z95">
            <v>261846</v>
          </cell>
          <cell r="AA95">
            <v>497303</v>
          </cell>
        </row>
        <row r="96">
          <cell r="A96">
            <v>32117</v>
          </cell>
          <cell r="X96">
            <v>33457</v>
          </cell>
          <cell r="Z96">
            <v>100398</v>
          </cell>
          <cell r="AA96">
            <v>3330</v>
          </cell>
        </row>
        <row r="97">
          <cell r="A97">
            <v>2304</v>
          </cell>
          <cell r="X97">
            <v>18572</v>
          </cell>
          <cell r="Z97">
            <v>87794</v>
          </cell>
          <cell r="AA97">
            <v>3679</v>
          </cell>
        </row>
        <row r="98">
          <cell r="A98">
            <v>11101</v>
          </cell>
          <cell r="X98">
            <v>-807691</v>
          </cell>
          <cell r="Z98">
            <v>1025959</v>
          </cell>
          <cell r="AA98">
            <v>3422078</v>
          </cell>
        </row>
        <row r="99">
          <cell r="A99">
            <v>11102</v>
          </cell>
          <cell r="X99">
            <v>-335471</v>
          </cell>
          <cell r="Z99">
            <v>4516</v>
          </cell>
          <cell r="AA99">
            <v>1343746</v>
          </cell>
        </row>
        <row r="100">
          <cell r="A100">
            <v>3100</v>
          </cell>
          <cell r="X100">
            <v>390805</v>
          </cell>
          <cell r="Z100">
            <v>1975214</v>
          </cell>
          <cell r="AA100">
            <v>456249</v>
          </cell>
        </row>
        <row r="101">
          <cell r="A101">
            <v>2323</v>
          </cell>
          <cell r="X101">
            <v>22716</v>
          </cell>
          <cell r="Z101">
            <v>168050</v>
          </cell>
          <cell r="AA101">
            <v>42963</v>
          </cell>
        </row>
        <row r="102">
          <cell r="A102">
            <v>11034</v>
          </cell>
          <cell r="X102">
            <v>51308</v>
          </cell>
          <cell r="Z102">
            <v>226373</v>
          </cell>
          <cell r="AA102">
            <v>57648</v>
          </cell>
        </row>
        <row r="103">
          <cell r="A103">
            <v>17054</v>
          </cell>
          <cell r="X103">
            <v>1185040</v>
          </cell>
          <cell r="Z103">
            <v>2316862</v>
          </cell>
          <cell r="AA103">
            <v>92719</v>
          </cell>
        </row>
        <row r="104">
          <cell r="A104">
            <v>22065</v>
          </cell>
          <cell r="X104">
            <v>29344</v>
          </cell>
          <cell r="Z104">
            <v>185916</v>
          </cell>
          <cell r="AA104">
            <v>51541</v>
          </cell>
        </row>
        <row r="105">
          <cell r="A105">
            <v>22201</v>
          </cell>
          <cell r="X105">
            <v>114819</v>
          </cell>
          <cell r="Z105">
            <v>367884</v>
          </cell>
          <cell r="AA105">
            <v>49609</v>
          </cell>
        </row>
        <row r="106">
          <cell r="A106">
            <v>6016</v>
          </cell>
          <cell r="X106">
            <v>54228</v>
          </cell>
          <cell r="Z106">
            <v>369286</v>
          </cell>
          <cell r="AA106">
            <v>210838</v>
          </cell>
        </row>
        <row r="107">
          <cell r="A107">
            <v>2432</v>
          </cell>
          <cell r="X107">
            <v>355511</v>
          </cell>
          <cell r="Z107">
            <v>1367097</v>
          </cell>
          <cell r="AA107">
            <v>0</v>
          </cell>
        </row>
        <row r="108">
          <cell r="A108">
            <v>16052</v>
          </cell>
          <cell r="X108">
            <v>694231</v>
          </cell>
          <cell r="Z108">
            <v>4241520</v>
          </cell>
          <cell r="AA108">
            <v>1357045</v>
          </cell>
        </row>
        <row r="109">
          <cell r="A109">
            <v>11118</v>
          </cell>
          <cell r="X109">
            <v>-36029</v>
          </cell>
          <cell r="Z109">
            <v>28399</v>
          </cell>
          <cell r="AA109">
            <v>222873</v>
          </cell>
        </row>
        <row r="110">
          <cell r="A110">
            <v>27083</v>
          </cell>
          <cell r="X110">
            <v>14159</v>
          </cell>
          <cell r="Z110">
            <v>122350</v>
          </cell>
          <cell r="AA110">
            <v>70014</v>
          </cell>
        </row>
        <row r="111">
          <cell r="A111">
            <v>7021</v>
          </cell>
          <cell r="X111">
            <v>235613</v>
          </cell>
          <cell r="Z111">
            <v>3949999</v>
          </cell>
          <cell r="AA111">
            <v>1233364</v>
          </cell>
        </row>
        <row r="112">
          <cell r="A112">
            <v>4140</v>
          </cell>
          <cell r="X112">
            <v>1105</v>
          </cell>
          <cell r="Z112">
            <v>46414</v>
          </cell>
          <cell r="AA112">
            <v>16060</v>
          </cell>
        </row>
        <row r="113">
          <cell r="A113">
            <v>13041</v>
          </cell>
          <cell r="X113">
            <v>27053</v>
          </cell>
          <cell r="Z113">
            <v>1606587</v>
          </cell>
          <cell r="AA113">
            <v>3380350</v>
          </cell>
        </row>
        <row r="114">
          <cell r="A114">
            <v>2339</v>
          </cell>
          <cell r="X114">
            <v>-29133</v>
          </cell>
          <cell r="Z114">
            <v>38719</v>
          </cell>
          <cell r="AA114">
            <v>82272</v>
          </cell>
        </row>
        <row r="115">
          <cell r="A115">
            <v>2362</v>
          </cell>
          <cell r="X115">
            <v>-57448</v>
          </cell>
          <cell r="Z115">
            <v>108077</v>
          </cell>
          <cell r="AA115">
            <v>563312</v>
          </cell>
        </row>
        <row r="116">
          <cell r="A116">
            <v>5013</v>
          </cell>
          <cell r="X116">
            <v>7508</v>
          </cell>
          <cell r="Z116">
            <v>47297</v>
          </cell>
          <cell r="AA116">
            <v>6216</v>
          </cell>
        </row>
        <row r="117">
          <cell r="A117">
            <v>3110</v>
          </cell>
          <cell r="X117">
            <v>-169805</v>
          </cell>
          <cell r="Z117">
            <v>17343</v>
          </cell>
          <cell r="AA117">
            <v>484672</v>
          </cell>
        </row>
        <row r="118">
          <cell r="A118">
            <v>14044</v>
          </cell>
          <cell r="X118">
            <v>-51878</v>
          </cell>
          <cell r="Z118">
            <v>655493</v>
          </cell>
          <cell r="AA118">
            <v>653487</v>
          </cell>
        </row>
        <row r="119">
          <cell r="A119">
            <v>4009</v>
          </cell>
          <cell r="X119">
            <v>-64176</v>
          </cell>
          <cell r="Z119">
            <v>28439</v>
          </cell>
          <cell r="AA119">
            <v>284567</v>
          </cell>
        </row>
        <row r="120">
          <cell r="A120">
            <v>7022</v>
          </cell>
          <cell r="X120">
            <v>23444</v>
          </cell>
          <cell r="Z120">
            <v>222621</v>
          </cell>
          <cell r="AA120">
            <v>125780</v>
          </cell>
        </row>
        <row r="121">
          <cell r="A121">
            <v>2430</v>
          </cell>
          <cell r="X121">
            <v>-27442</v>
          </cell>
          <cell r="Z121">
            <v>45444</v>
          </cell>
          <cell r="AA121">
            <v>207890</v>
          </cell>
        </row>
        <row r="122">
          <cell r="A122">
            <v>9150</v>
          </cell>
          <cell r="X122">
            <v>-585469</v>
          </cell>
          <cell r="Z122">
            <v>0</v>
          </cell>
          <cell r="AA122">
            <v>1342523</v>
          </cell>
        </row>
        <row r="123">
          <cell r="A123">
            <v>6017</v>
          </cell>
          <cell r="X123">
            <v>577682</v>
          </cell>
          <cell r="Z123">
            <v>6170066</v>
          </cell>
          <cell r="AA123">
            <v>1526607</v>
          </cell>
        </row>
        <row r="124">
          <cell r="A124">
            <v>26080</v>
          </cell>
          <cell r="X124">
            <v>28324</v>
          </cell>
          <cell r="Z124">
            <v>114178</v>
          </cell>
          <cell r="AA124">
            <v>0</v>
          </cell>
        </row>
        <row r="125">
          <cell r="A125">
            <v>2327</v>
          </cell>
          <cell r="X125">
            <v>589</v>
          </cell>
          <cell r="Z125">
            <v>108718</v>
          </cell>
          <cell r="AA125">
            <v>173028</v>
          </cell>
        </row>
        <row r="126">
          <cell r="A126">
            <v>10119</v>
          </cell>
          <cell r="X126">
            <v>-47587</v>
          </cell>
          <cell r="Z126">
            <v>22990</v>
          </cell>
          <cell r="AA126">
            <v>126659</v>
          </cell>
        </row>
        <row r="127">
          <cell r="A127">
            <v>573</v>
          </cell>
          <cell r="X127">
            <v>343217</v>
          </cell>
          <cell r="Z127">
            <v>1269059</v>
          </cell>
          <cell r="AA127">
            <v>0</v>
          </cell>
        </row>
        <row r="128">
          <cell r="A128">
            <v>2368</v>
          </cell>
          <cell r="X128">
            <v>114727</v>
          </cell>
          <cell r="Z128">
            <v>625543</v>
          </cell>
          <cell r="AA128">
            <v>128833</v>
          </cell>
        </row>
        <row r="129">
          <cell r="A129">
            <v>7420</v>
          </cell>
          <cell r="X129">
            <v>64476</v>
          </cell>
          <cell r="Z129">
            <v>173975</v>
          </cell>
          <cell r="AA129">
            <v>12645</v>
          </cell>
        </row>
        <row r="130">
          <cell r="A130">
            <v>6018</v>
          </cell>
          <cell r="X130">
            <v>55897</v>
          </cell>
          <cell r="Z130">
            <v>205185</v>
          </cell>
          <cell r="AA130">
            <v>7683</v>
          </cell>
        </row>
        <row r="131">
          <cell r="A131">
            <v>3321</v>
          </cell>
          <cell r="X131">
            <v>10259</v>
          </cell>
          <cell r="Z131">
            <v>147386</v>
          </cell>
          <cell r="AA131">
            <v>52693</v>
          </cell>
        </row>
        <row r="132">
          <cell r="A132">
            <v>29122</v>
          </cell>
          <cell r="X132">
            <v>-88977</v>
          </cell>
          <cell r="Z132">
            <v>195486</v>
          </cell>
          <cell r="AA132">
            <v>420885</v>
          </cell>
        </row>
        <row r="133">
          <cell r="A133">
            <v>29088</v>
          </cell>
          <cell r="X133">
            <v>-43371</v>
          </cell>
          <cell r="Z133">
            <v>15510</v>
          </cell>
          <cell r="AA133">
            <v>208679</v>
          </cell>
        </row>
        <row r="134">
          <cell r="A134">
            <v>7337</v>
          </cell>
          <cell r="X134">
            <v>-70941</v>
          </cell>
          <cell r="Z134">
            <v>0</v>
          </cell>
          <cell r="AA134">
            <v>254707</v>
          </cell>
        </row>
        <row r="135">
          <cell r="A135">
            <v>2329</v>
          </cell>
          <cell r="X135">
            <v>-98789</v>
          </cell>
          <cell r="Z135">
            <v>95659</v>
          </cell>
          <cell r="AA135">
            <v>522548</v>
          </cell>
        </row>
        <row r="136">
          <cell r="A136">
            <v>2343</v>
          </cell>
          <cell r="X136">
            <v>-24624</v>
          </cell>
          <cell r="Z136">
            <v>222747</v>
          </cell>
          <cell r="AA136">
            <v>201932</v>
          </cell>
        </row>
        <row r="137">
          <cell r="A137">
            <v>17425</v>
          </cell>
          <cell r="X137">
            <v>-63426</v>
          </cell>
          <cell r="Z137">
            <v>0</v>
          </cell>
          <cell r="AA137">
            <v>243258</v>
          </cell>
        </row>
        <row r="138">
          <cell r="A138">
            <v>4010</v>
          </cell>
          <cell r="X138">
            <v>20615</v>
          </cell>
          <cell r="Z138">
            <v>95512</v>
          </cell>
          <cell r="AA138">
            <v>9870</v>
          </cell>
        </row>
        <row r="139">
          <cell r="A139">
            <v>7023</v>
          </cell>
          <cell r="X139">
            <v>1165813</v>
          </cell>
          <cell r="Z139">
            <v>4031751</v>
          </cell>
          <cell r="AA139">
            <v>0</v>
          </cell>
        </row>
        <row r="140">
          <cell r="A140">
            <v>7338</v>
          </cell>
          <cell r="X140">
            <v>75429</v>
          </cell>
          <cell r="Z140">
            <v>191123</v>
          </cell>
          <cell r="AA140">
            <v>0</v>
          </cell>
        </row>
        <row r="141">
          <cell r="A141">
            <v>12037</v>
          </cell>
          <cell r="X141">
            <v>165619</v>
          </cell>
          <cell r="Z141">
            <v>722283</v>
          </cell>
          <cell r="AA141">
            <v>636740</v>
          </cell>
        </row>
        <row r="142">
          <cell r="A142">
            <v>3150</v>
          </cell>
          <cell r="X142">
            <v>239549</v>
          </cell>
          <cell r="Z142">
            <v>1305560</v>
          </cell>
          <cell r="AA142">
            <v>1133902</v>
          </cell>
        </row>
        <row r="143">
          <cell r="A143">
            <v>3160</v>
          </cell>
          <cell r="X143">
            <v>-47253</v>
          </cell>
          <cell r="Z143">
            <v>90018</v>
          </cell>
          <cell r="AA143">
            <v>332084</v>
          </cell>
        </row>
        <row r="144">
          <cell r="A144">
            <v>10120</v>
          </cell>
          <cell r="X144">
            <v>-13802</v>
          </cell>
          <cell r="Z144">
            <v>27315</v>
          </cell>
          <cell r="AA144">
            <v>89849</v>
          </cell>
        </row>
        <row r="145">
          <cell r="A145">
            <v>23070</v>
          </cell>
          <cell r="X145">
            <v>62276</v>
          </cell>
          <cell r="Z145">
            <v>190840</v>
          </cell>
          <cell r="AA145">
            <v>15729</v>
          </cell>
        </row>
        <row r="146">
          <cell r="A146">
            <v>3170</v>
          </cell>
          <cell r="X146">
            <v>-510385</v>
          </cell>
          <cell r="Z146">
            <v>2013751</v>
          </cell>
          <cell r="AA146">
            <v>3610330</v>
          </cell>
        </row>
        <row r="147">
          <cell r="A147">
            <v>32093</v>
          </cell>
          <cell r="X147">
            <v>448016</v>
          </cell>
          <cell r="Z147">
            <v>1365113</v>
          </cell>
          <cell r="AA147">
            <v>0</v>
          </cell>
        </row>
        <row r="148">
          <cell r="A148">
            <v>14045</v>
          </cell>
          <cell r="X148">
            <v>756115</v>
          </cell>
          <cell r="Z148">
            <v>2154486</v>
          </cell>
          <cell r="AA148">
            <v>0</v>
          </cell>
        </row>
        <row r="149">
          <cell r="A149">
            <v>2322</v>
          </cell>
          <cell r="X149">
            <v>-35831</v>
          </cell>
          <cell r="Z149">
            <v>32272</v>
          </cell>
          <cell r="AA149">
            <v>174132</v>
          </cell>
        </row>
        <row r="150">
          <cell r="A150">
            <v>3006</v>
          </cell>
          <cell r="X150">
            <v>45738</v>
          </cell>
          <cell r="Z150">
            <v>737611</v>
          </cell>
          <cell r="AA150">
            <v>242379</v>
          </cell>
        </row>
        <row r="151">
          <cell r="A151">
            <v>6019</v>
          </cell>
          <cell r="X151">
            <v>277117</v>
          </cell>
          <cell r="Z151">
            <v>1428869</v>
          </cell>
          <cell r="AA151">
            <v>111243</v>
          </cell>
        </row>
        <row r="152">
          <cell r="A152">
            <v>12128</v>
          </cell>
          <cell r="X152">
            <v>-89372</v>
          </cell>
          <cell r="Z152">
            <v>221552</v>
          </cell>
          <cell r="AA152">
            <v>730561</v>
          </cell>
        </row>
        <row r="153">
          <cell r="A153">
            <v>3180</v>
          </cell>
          <cell r="X153">
            <v>-176632</v>
          </cell>
          <cell r="Z153">
            <v>0</v>
          </cell>
          <cell r="AA153">
            <v>594543</v>
          </cell>
        </row>
        <row r="154">
          <cell r="A154">
            <v>25075</v>
          </cell>
          <cell r="X154">
            <v>-24327</v>
          </cell>
          <cell r="Z154">
            <v>280355</v>
          </cell>
          <cell r="AA154">
            <v>237773</v>
          </cell>
        </row>
        <row r="155">
          <cell r="A155">
            <v>9028</v>
          </cell>
          <cell r="X155">
            <v>-15191</v>
          </cell>
          <cell r="Z155">
            <v>15038</v>
          </cell>
          <cell r="AA155">
            <v>77347</v>
          </cell>
        </row>
        <row r="156">
          <cell r="A156">
            <v>17424</v>
          </cell>
          <cell r="X156">
            <v>12645</v>
          </cell>
          <cell r="Z156">
            <v>202575</v>
          </cell>
          <cell r="AA156">
            <v>66242</v>
          </cell>
        </row>
        <row r="157">
          <cell r="A157">
            <v>3200</v>
          </cell>
          <cell r="X157">
            <v>-453152</v>
          </cell>
          <cell r="Z157">
            <v>0</v>
          </cell>
          <cell r="AA157">
            <v>1186026</v>
          </cell>
        </row>
        <row r="158">
          <cell r="A158">
            <v>2365</v>
          </cell>
          <cell r="X158">
            <v>4738</v>
          </cell>
          <cell r="Z158">
            <v>108667</v>
          </cell>
          <cell r="AA158">
            <v>177197</v>
          </cell>
        </row>
        <row r="159">
          <cell r="A159">
            <v>5014</v>
          </cell>
          <cell r="X159">
            <v>9358</v>
          </cell>
          <cell r="Z159">
            <v>47822</v>
          </cell>
          <cell r="AA159">
            <v>37428</v>
          </cell>
        </row>
        <row r="160">
          <cell r="A160">
            <v>17127</v>
          </cell>
          <cell r="X160">
            <v>-170883</v>
          </cell>
          <cell r="Z160">
            <v>458184</v>
          </cell>
          <cell r="AA160">
            <v>843297</v>
          </cell>
        </row>
        <row r="161">
          <cell r="A161">
            <v>10141</v>
          </cell>
          <cell r="X161">
            <v>-82995</v>
          </cell>
          <cell r="Z161">
            <v>5519</v>
          </cell>
          <cell r="AA161">
            <v>364179</v>
          </cell>
        </row>
        <row r="162">
          <cell r="A162">
            <v>4570</v>
          </cell>
          <cell r="X162">
            <v>1420464</v>
          </cell>
          <cell r="Z162">
            <v>4016282</v>
          </cell>
          <cell r="AA162">
            <v>200271</v>
          </cell>
        </row>
        <row r="163">
          <cell r="A163">
            <v>13369</v>
          </cell>
          <cell r="X163">
            <v>5028</v>
          </cell>
          <cell r="Z163">
            <v>75588</v>
          </cell>
          <cell r="AA163">
            <v>73984</v>
          </cell>
        </row>
        <row r="164">
          <cell r="A164">
            <v>2425</v>
          </cell>
          <cell r="X164">
            <v>810594</v>
          </cell>
          <cell r="Z164">
            <v>3112898</v>
          </cell>
          <cell r="AA164">
            <v>31951</v>
          </cell>
        </row>
        <row r="165">
          <cell r="A165">
            <v>1306</v>
          </cell>
          <cell r="X165">
            <v>93277</v>
          </cell>
          <cell r="Z165">
            <v>272254</v>
          </cell>
          <cell r="AA165">
            <v>0</v>
          </cell>
        </row>
        <row r="166">
          <cell r="A166">
            <v>2351</v>
          </cell>
          <cell r="X166">
            <v>10750</v>
          </cell>
          <cell r="Z166">
            <v>96376</v>
          </cell>
          <cell r="AA166">
            <v>40328</v>
          </cell>
        </row>
        <row r="167">
          <cell r="A167">
            <v>2334</v>
          </cell>
          <cell r="X167">
            <v>17225</v>
          </cell>
          <cell r="Z167">
            <v>75952</v>
          </cell>
          <cell r="AA167">
            <v>43963</v>
          </cell>
        </row>
        <row r="168">
          <cell r="A168">
            <v>30089</v>
          </cell>
          <cell r="X168">
            <v>-46718</v>
          </cell>
          <cell r="Z168">
            <v>68644</v>
          </cell>
          <cell r="AA168">
            <v>290038</v>
          </cell>
        </row>
        <row r="169">
          <cell r="A169">
            <v>9324</v>
          </cell>
          <cell r="X169">
            <v>17707</v>
          </cell>
          <cell r="Z169">
            <v>103532</v>
          </cell>
          <cell r="AA169">
            <v>18567</v>
          </cell>
        </row>
        <row r="170">
          <cell r="A170">
            <v>22066</v>
          </cell>
          <cell r="X170">
            <v>-35294</v>
          </cell>
          <cell r="Z170">
            <v>635239</v>
          </cell>
          <cell r="AA170">
            <v>403261</v>
          </cell>
        </row>
        <row r="171">
          <cell r="A171">
            <v>16356</v>
          </cell>
          <cell r="X171">
            <v>13949</v>
          </cell>
          <cell r="Z171">
            <v>97478</v>
          </cell>
          <cell r="AA171">
            <v>32016</v>
          </cell>
        </row>
        <row r="172">
          <cell r="A172">
            <v>31091</v>
          </cell>
          <cell r="X172">
            <v>12960</v>
          </cell>
          <cell r="Z172">
            <v>193675</v>
          </cell>
          <cell r="AA172">
            <v>83012</v>
          </cell>
        </row>
        <row r="173">
          <cell r="A173">
            <v>2342</v>
          </cell>
          <cell r="X173">
            <v>47424</v>
          </cell>
          <cell r="Z173">
            <v>220004</v>
          </cell>
          <cell r="AA173">
            <v>0</v>
          </cell>
        </row>
        <row r="174">
          <cell r="A174">
            <v>22067</v>
          </cell>
          <cell r="X174">
            <v>15780</v>
          </cell>
          <cell r="Z174">
            <v>400505</v>
          </cell>
          <cell r="AA174">
            <v>352244</v>
          </cell>
        </row>
        <row r="175">
          <cell r="A175">
            <v>32112</v>
          </cell>
          <cell r="X175">
            <v>-18231</v>
          </cell>
          <cell r="Z175">
            <v>51222</v>
          </cell>
          <cell r="AA175">
            <v>75144</v>
          </cell>
        </row>
        <row r="176">
          <cell r="A176">
            <v>2354</v>
          </cell>
          <cell r="X176">
            <v>34672</v>
          </cell>
          <cell r="Z176">
            <v>82287</v>
          </cell>
          <cell r="AA176">
            <v>32079</v>
          </cell>
        </row>
        <row r="177">
          <cell r="A177">
            <v>2148</v>
          </cell>
          <cell r="X177">
            <v>-13170</v>
          </cell>
          <cell r="Z177">
            <v>15625</v>
          </cell>
          <cell r="AA177">
            <v>57229</v>
          </cell>
        </row>
        <row r="178">
          <cell r="A178">
            <v>1418</v>
          </cell>
          <cell r="X178">
            <v>230382</v>
          </cell>
          <cell r="Z178">
            <v>1711500</v>
          </cell>
          <cell r="AA178">
            <v>566305</v>
          </cell>
        </row>
        <row r="179">
          <cell r="A179">
            <v>12102</v>
          </cell>
          <cell r="X179">
            <v>-420668</v>
          </cell>
          <cell r="Z179">
            <v>1517722</v>
          </cell>
          <cell r="AA179">
            <v>2056826</v>
          </cell>
        </row>
        <row r="180">
          <cell r="A180">
            <v>2414</v>
          </cell>
          <cell r="X180">
            <v>177638</v>
          </cell>
          <cell r="Z180">
            <v>744597</v>
          </cell>
          <cell r="AA180">
            <v>29943</v>
          </cell>
        </row>
        <row r="181">
          <cell r="A181">
            <v>6124</v>
          </cell>
          <cell r="X181">
            <v>-593954</v>
          </cell>
          <cell r="Z181">
            <v>0</v>
          </cell>
          <cell r="AA181">
            <v>1976334</v>
          </cell>
        </row>
        <row r="182">
          <cell r="A182">
            <v>4097</v>
          </cell>
          <cell r="X182">
            <v>-152968</v>
          </cell>
          <cell r="Z182">
            <v>62395</v>
          </cell>
          <cell r="AA182">
            <v>773098</v>
          </cell>
        </row>
        <row r="183">
          <cell r="A183">
            <v>1416</v>
          </cell>
          <cell r="X183">
            <v>74587</v>
          </cell>
          <cell r="Z183">
            <v>248894</v>
          </cell>
          <cell r="AA183">
            <v>0</v>
          </cell>
        </row>
        <row r="184">
          <cell r="A184">
            <v>1094</v>
          </cell>
          <cell r="X184">
            <v>-41794</v>
          </cell>
          <cell r="Z184">
            <v>194800</v>
          </cell>
          <cell r="AA184">
            <v>535216</v>
          </cell>
        </row>
        <row r="185">
          <cell r="A185">
            <v>32111</v>
          </cell>
          <cell r="X185">
            <v>-59063</v>
          </cell>
          <cell r="Z185">
            <v>50488</v>
          </cell>
          <cell r="AA185">
            <v>410746</v>
          </cell>
        </row>
        <row r="186">
          <cell r="A186">
            <v>2520</v>
          </cell>
          <cell r="X186">
            <v>-68294</v>
          </cell>
          <cell r="Z186">
            <v>148425</v>
          </cell>
          <cell r="AA186">
            <v>274360</v>
          </cell>
        </row>
        <row r="187">
          <cell r="A187">
            <v>3450</v>
          </cell>
          <cell r="X187">
            <v>19095</v>
          </cell>
          <cell r="Z187">
            <v>70185</v>
          </cell>
          <cell r="AA187">
            <v>60398</v>
          </cell>
        </row>
        <row r="188">
          <cell r="A188">
            <v>4310</v>
          </cell>
          <cell r="X188">
            <v>36965</v>
          </cell>
          <cell r="Z188">
            <v>121867</v>
          </cell>
          <cell r="AA188">
            <v>92765</v>
          </cell>
        </row>
        <row r="189">
          <cell r="A189">
            <v>2328</v>
          </cell>
          <cell r="X189">
            <v>-45473</v>
          </cell>
          <cell r="Z189">
            <v>279629</v>
          </cell>
          <cell r="AA189">
            <v>235864</v>
          </cell>
        </row>
        <row r="190">
          <cell r="A190">
            <v>12151</v>
          </cell>
          <cell r="X190">
            <v>-91567</v>
          </cell>
          <cell r="Z190">
            <v>39526</v>
          </cell>
          <cell r="AA190">
            <v>291463</v>
          </cell>
        </row>
        <row r="191">
          <cell r="A191">
            <v>32110</v>
          </cell>
          <cell r="X191">
            <v>258943</v>
          </cell>
          <cell r="Z191">
            <v>1041433</v>
          </cell>
          <cell r="AA191">
            <v>69925</v>
          </cell>
        </row>
        <row r="192">
          <cell r="A192">
            <v>4215</v>
          </cell>
          <cell r="X192">
            <v>-72468</v>
          </cell>
          <cell r="Z192">
            <v>19572</v>
          </cell>
          <cell r="AA192">
            <v>326451</v>
          </cell>
        </row>
        <row r="193">
          <cell r="A193">
            <v>2870</v>
          </cell>
          <cell r="X193">
            <v>14016</v>
          </cell>
          <cell r="Z193">
            <v>63324</v>
          </cell>
          <cell r="AA193">
            <v>67668</v>
          </cell>
        </row>
        <row r="194">
          <cell r="A194">
            <v>29150</v>
          </cell>
          <cell r="X194">
            <v>20453</v>
          </cell>
          <cell r="Z194">
            <v>74942</v>
          </cell>
          <cell r="AA194">
            <v>99004</v>
          </cell>
        </row>
        <row r="195">
          <cell r="A195">
            <v>2311</v>
          </cell>
          <cell r="X195">
            <v>38861</v>
          </cell>
          <cell r="Z195">
            <v>227571</v>
          </cell>
          <cell r="AA195">
            <v>151968</v>
          </cell>
        </row>
        <row r="196">
          <cell r="A196">
            <v>32118</v>
          </cell>
          <cell r="X196">
            <v>679695</v>
          </cell>
          <cell r="Z196">
            <v>2688505</v>
          </cell>
          <cell r="AA196">
            <v>0</v>
          </cell>
        </row>
        <row r="197">
          <cell r="A197">
            <v>12039</v>
          </cell>
          <cell r="X197">
            <v>-97106</v>
          </cell>
          <cell r="Z197">
            <v>16393</v>
          </cell>
          <cell r="AA197">
            <v>431419</v>
          </cell>
        </row>
        <row r="198">
          <cell r="A198">
            <v>12150</v>
          </cell>
          <cell r="X198">
            <v>45362</v>
          </cell>
          <cell r="Z198">
            <v>141539</v>
          </cell>
          <cell r="AA198">
            <v>77036</v>
          </cell>
        </row>
        <row r="199">
          <cell r="A199">
            <v>20060</v>
          </cell>
          <cell r="X199">
            <v>120577</v>
          </cell>
          <cell r="Z199">
            <v>613923</v>
          </cell>
          <cell r="AA199">
            <v>714125</v>
          </cell>
        </row>
        <row r="200">
          <cell r="A200">
            <v>1001</v>
          </cell>
          <cell r="X200">
            <v>-320298</v>
          </cell>
          <cell r="Z200">
            <v>626803</v>
          </cell>
          <cell r="AA200">
            <v>2828682</v>
          </cell>
        </row>
        <row r="201">
          <cell r="A201">
            <v>11035</v>
          </cell>
          <cell r="X201">
            <v>388231</v>
          </cell>
          <cell r="Z201">
            <v>1615629</v>
          </cell>
          <cell r="AA201">
            <v>93509</v>
          </cell>
        </row>
        <row r="202">
          <cell r="A202">
            <v>2320</v>
          </cell>
          <cell r="X202">
            <v>3126</v>
          </cell>
          <cell r="Z202">
            <v>71991</v>
          </cell>
          <cell r="AA202">
            <v>31728</v>
          </cell>
        </row>
        <row r="203">
          <cell r="A203">
            <v>28084</v>
          </cell>
          <cell r="X203">
            <v>19063</v>
          </cell>
          <cell r="Z203">
            <v>102618</v>
          </cell>
          <cell r="AA203">
            <v>27919</v>
          </cell>
        </row>
        <row r="204">
          <cell r="A204">
            <v>20125</v>
          </cell>
          <cell r="X204">
            <v>-199717</v>
          </cell>
          <cell r="Z204">
            <v>0</v>
          </cell>
          <cell r="AA204">
            <v>698219</v>
          </cell>
        </row>
        <row r="205">
          <cell r="A205">
            <v>4170</v>
          </cell>
          <cell r="X205">
            <v>-41816</v>
          </cell>
          <cell r="Z205">
            <v>29456</v>
          </cell>
          <cell r="AA205">
            <v>233690</v>
          </cell>
        </row>
        <row r="206">
          <cell r="A206">
            <v>9029</v>
          </cell>
          <cell r="X206">
            <v>-152684</v>
          </cell>
          <cell r="Z206">
            <v>765454</v>
          </cell>
          <cell r="AA206">
            <v>759892</v>
          </cell>
        </row>
        <row r="207">
          <cell r="A207">
            <v>2580</v>
          </cell>
          <cell r="X207">
            <v>-10416</v>
          </cell>
          <cell r="Z207">
            <v>25644</v>
          </cell>
          <cell r="AA207">
            <v>95606</v>
          </cell>
        </row>
        <row r="208">
          <cell r="A208">
            <v>20312</v>
          </cell>
          <cell r="X208">
            <v>17675</v>
          </cell>
          <cell r="Z208">
            <v>94177</v>
          </cell>
          <cell r="AA208">
            <v>14386</v>
          </cell>
        </row>
        <row r="209">
          <cell r="A209">
            <v>7445</v>
          </cell>
          <cell r="X209">
            <v>84447</v>
          </cell>
          <cell r="Z209">
            <v>375379</v>
          </cell>
          <cell r="AA209">
            <v>0</v>
          </cell>
        </row>
        <row r="210">
          <cell r="A210">
            <v>26150</v>
          </cell>
          <cell r="X210">
            <v>226962</v>
          </cell>
          <cell r="Z210">
            <v>551202</v>
          </cell>
          <cell r="AA210">
            <v>76632</v>
          </cell>
        </row>
        <row r="211">
          <cell r="A211">
            <v>5016</v>
          </cell>
          <cell r="X211">
            <v>-4460</v>
          </cell>
          <cell r="Z211">
            <v>38277</v>
          </cell>
          <cell r="AA211">
            <v>87549</v>
          </cell>
        </row>
        <row r="212">
          <cell r="A212">
            <v>6150</v>
          </cell>
          <cell r="X212">
            <v>62417</v>
          </cell>
          <cell r="Z212">
            <v>171811</v>
          </cell>
          <cell r="AA212">
            <v>40333</v>
          </cell>
        </row>
        <row r="213">
          <cell r="A213">
            <v>4480</v>
          </cell>
          <cell r="X213">
            <v>-21694</v>
          </cell>
          <cell r="Z213">
            <v>19467</v>
          </cell>
          <cell r="AA213">
            <v>125450</v>
          </cell>
        </row>
        <row r="214">
          <cell r="A214">
            <v>28085</v>
          </cell>
          <cell r="X214">
            <v>-19010</v>
          </cell>
          <cell r="Z214">
            <v>13717</v>
          </cell>
          <cell r="AA214">
            <v>112155</v>
          </cell>
        </row>
        <row r="215">
          <cell r="A215">
            <v>3240</v>
          </cell>
          <cell r="X215">
            <v>-229858</v>
          </cell>
          <cell r="Z215">
            <v>283539</v>
          </cell>
          <cell r="AA215">
            <v>702282</v>
          </cell>
        </row>
        <row r="216">
          <cell r="A216">
            <v>12326</v>
          </cell>
          <cell r="X216">
            <v>5205</v>
          </cell>
          <cell r="Z216">
            <v>64593</v>
          </cell>
          <cell r="AA216">
            <v>42425</v>
          </cell>
        </row>
        <row r="217">
          <cell r="A217">
            <v>29123</v>
          </cell>
          <cell r="X217">
            <v>1822789</v>
          </cell>
          <cell r="Z217">
            <v>15679138</v>
          </cell>
          <cell r="AA217">
            <v>8386147</v>
          </cell>
        </row>
        <row r="218">
          <cell r="A218">
            <v>2318</v>
          </cell>
          <cell r="X218">
            <v>37108</v>
          </cell>
          <cell r="Z218">
            <v>157586</v>
          </cell>
          <cell r="AA218">
            <v>20235</v>
          </cell>
        </row>
        <row r="219">
          <cell r="A219">
            <v>3250</v>
          </cell>
          <cell r="X219">
            <v>-14493</v>
          </cell>
          <cell r="Z219">
            <v>104050</v>
          </cell>
          <cell r="AA219">
            <v>278537</v>
          </cell>
        </row>
        <row r="220">
          <cell r="A220">
            <v>2313</v>
          </cell>
          <cell r="X220">
            <v>-8937</v>
          </cell>
          <cell r="Z220">
            <v>20570</v>
          </cell>
          <cell r="AA220">
            <v>29549</v>
          </cell>
        </row>
        <row r="221">
          <cell r="A221">
            <v>4011</v>
          </cell>
          <cell r="X221">
            <v>982892</v>
          </cell>
          <cell r="Z221">
            <v>4228795</v>
          </cell>
          <cell r="AA221">
            <v>513218</v>
          </cell>
        </row>
        <row r="222">
          <cell r="A222">
            <v>31092</v>
          </cell>
          <cell r="X222">
            <v>11451</v>
          </cell>
          <cell r="Z222">
            <v>62216</v>
          </cell>
          <cell r="AA222">
            <v>15112</v>
          </cell>
        </row>
        <row r="223">
          <cell r="A223">
            <v>26081</v>
          </cell>
          <cell r="X223">
            <v>93706</v>
          </cell>
          <cell r="Z223">
            <v>413222</v>
          </cell>
          <cell r="AA223">
            <v>391843</v>
          </cell>
        </row>
        <row r="224">
          <cell r="A224">
            <v>29305</v>
          </cell>
          <cell r="X224">
            <v>36446</v>
          </cell>
          <cell r="Z224">
            <v>104517</v>
          </cell>
          <cell r="AA224">
            <v>52432</v>
          </cell>
        </row>
        <row r="225">
          <cell r="A225">
            <v>10032</v>
          </cell>
          <cell r="X225">
            <v>-12693</v>
          </cell>
          <cell r="Z225">
            <v>37974</v>
          </cell>
          <cell r="AA225">
            <v>122741</v>
          </cell>
        </row>
        <row r="226">
          <cell r="A226">
            <v>32107</v>
          </cell>
          <cell r="X226">
            <v>-112726</v>
          </cell>
          <cell r="Z226">
            <v>39144</v>
          </cell>
          <cell r="AA226">
            <v>451675</v>
          </cell>
        </row>
        <row r="227">
          <cell r="A227">
            <v>3260</v>
          </cell>
          <cell r="X227">
            <v>-777441</v>
          </cell>
          <cell r="Z227">
            <v>1008371</v>
          </cell>
          <cell r="AA227">
            <v>4425232</v>
          </cell>
        </row>
        <row r="228">
          <cell r="A228">
            <v>4390</v>
          </cell>
          <cell r="X228">
            <v>7771</v>
          </cell>
          <cell r="Z228">
            <v>32873</v>
          </cell>
          <cell r="AA228">
            <v>5122</v>
          </cell>
        </row>
        <row r="229">
          <cell r="A229">
            <v>3270</v>
          </cell>
          <cell r="X229">
            <v>-68876</v>
          </cell>
          <cell r="Z229">
            <v>2008</v>
          </cell>
          <cell r="AA229">
            <v>298413</v>
          </cell>
        </row>
        <row r="230">
          <cell r="A230">
            <v>29303</v>
          </cell>
          <cell r="X230">
            <v>81790</v>
          </cell>
          <cell r="Z230">
            <v>413261</v>
          </cell>
          <cell r="AA230">
            <v>43159</v>
          </cell>
        </row>
        <row r="231">
          <cell r="A231">
            <v>3280</v>
          </cell>
          <cell r="X231">
            <v>-142278</v>
          </cell>
          <cell r="Z231">
            <v>2059461</v>
          </cell>
          <cell r="AA231">
            <v>2895238</v>
          </cell>
        </row>
        <row r="232">
          <cell r="A232">
            <v>4260</v>
          </cell>
          <cell r="X232">
            <v>7359</v>
          </cell>
          <cell r="Z232">
            <v>58112</v>
          </cell>
          <cell r="AA232">
            <v>93296</v>
          </cell>
        </row>
        <row r="233">
          <cell r="A233">
            <v>1003</v>
          </cell>
          <cell r="X233">
            <v>-1053770</v>
          </cell>
          <cell r="Z233">
            <v>0</v>
          </cell>
          <cell r="AA233">
            <v>3285954</v>
          </cell>
        </row>
        <row r="234">
          <cell r="A234">
            <v>3290</v>
          </cell>
          <cell r="X234">
            <v>-522592</v>
          </cell>
          <cell r="Z234">
            <v>768323</v>
          </cell>
          <cell r="AA234">
            <v>4095590</v>
          </cell>
        </row>
        <row r="235">
          <cell r="A235">
            <v>1002</v>
          </cell>
          <cell r="X235">
            <v>15254</v>
          </cell>
          <cell r="Z235">
            <v>2554933</v>
          </cell>
          <cell r="AA235">
            <v>2374121</v>
          </cell>
        </row>
        <row r="236">
          <cell r="A236">
            <v>4270</v>
          </cell>
          <cell r="X236">
            <v>306464</v>
          </cell>
          <cell r="Z236">
            <v>1526191</v>
          </cell>
          <cell r="AA236">
            <v>0</v>
          </cell>
        </row>
        <row r="237">
          <cell r="A237">
            <v>24072</v>
          </cell>
          <cell r="X237">
            <v>66426</v>
          </cell>
          <cell r="Z237">
            <v>672158</v>
          </cell>
          <cell r="AA237">
            <v>149883</v>
          </cell>
        </row>
        <row r="238">
          <cell r="A238">
            <v>14366</v>
          </cell>
          <cell r="X238">
            <v>20743</v>
          </cell>
          <cell r="Z238">
            <v>86506</v>
          </cell>
          <cell r="AA238">
            <v>1507</v>
          </cell>
        </row>
        <row r="239">
          <cell r="A239">
            <v>4317</v>
          </cell>
          <cell r="X239">
            <v>95795</v>
          </cell>
          <cell r="Z239">
            <v>529049</v>
          </cell>
          <cell r="AA239">
            <v>18402</v>
          </cell>
        </row>
        <row r="240">
          <cell r="A240">
            <v>32120</v>
          </cell>
          <cell r="X240">
            <v>144257</v>
          </cell>
          <cell r="Z240">
            <v>475280</v>
          </cell>
          <cell r="AA240">
            <v>0</v>
          </cell>
        </row>
        <row r="241">
          <cell r="A241">
            <v>3300</v>
          </cell>
          <cell r="X241">
            <v>571010</v>
          </cell>
          <cell r="Z241">
            <v>1092904</v>
          </cell>
          <cell r="AA241">
            <v>250557</v>
          </cell>
        </row>
        <row r="242">
          <cell r="A242">
            <v>8026</v>
          </cell>
          <cell r="X242">
            <v>-310979</v>
          </cell>
          <cell r="Z242">
            <v>0</v>
          </cell>
          <cell r="AA242">
            <v>1232486</v>
          </cell>
        </row>
        <row r="243">
          <cell r="A243">
            <v>32119</v>
          </cell>
          <cell r="X243">
            <v>57327</v>
          </cell>
          <cell r="Z243">
            <v>198384</v>
          </cell>
          <cell r="AA243">
            <v>74504</v>
          </cell>
        </row>
        <row r="244">
          <cell r="A244">
            <v>25076</v>
          </cell>
          <cell r="X244">
            <v>-39584</v>
          </cell>
          <cell r="Z244">
            <v>282547</v>
          </cell>
          <cell r="AA244">
            <v>488688</v>
          </cell>
        </row>
        <row r="245">
          <cell r="A245">
            <v>2440</v>
          </cell>
          <cell r="X245">
            <v>169349</v>
          </cell>
          <cell r="Z245">
            <v>722449</v>
          </cell>
          <cell r="AA245">
            <v>0</v>
          </cell>
        </row>
        <row r="246">
          <cell r="A246">
            <v>2309</v>
          </cell>
          <cell r="X246">
            <v>114629</v>
          </cell>
          <cell r="Z246">
            <v>416544</v>
          </cell>
          <cell r="AA246">
            <v>28687</v>
          </cell>
        </row>
        <row r="247">
          <cell r="A247">
            <v>2396</v>
          </cell>
          <cell r="X247">
            <v>45636</v>
          </cell>
          <cell r="Z247">
            <v>205577</v>
          </cell>
          <cell r="AA247">
            <v>15224</v>
          </cell>
        </row>
        <row r="248">
          <cell r="A248">
            <v>3380</v>
          </cell>
          <cell r="X248">
            <v>-5202</v>
          </cell>
          <cell r="Z248">
            <v>71392</v>
          </cell>
          <cell r="AA248">
            <v>48236</v>
          </cell>
        </row>
        <row r="249">
          <cell r="A249">
            <v>2420</v>
          </cell>
          <cell r="X249">
            <v>19119</v>
          </cell>
          <cell r="Z249">
            <v>123657</v>
          </cell>
          <cell r="AA249">
            <v>141355</v>
          </cell>
        </row>
        <row r="250">
          <cell r="A250">
            <v>2740</v>
          </cell>
          <cell r="X250">
            <v>-777</v>
          </cell>
          <cell r="Z250">
            <v>36291</v>
          </cell>
          <cell r="AA250">
            <v>30323</v>
          </cell>
        </row>
        <row r="251">
          <cell r="A251">
            <v>2346</v>
          </cell>
          <cell r="X251">
            <v>83445</v>
          </cell>
          <cell r="Z251">
            <v>173590</v>
          </cell>
          <cell r="AA251">
            <v>14519</v>
          </cell>
        </row>
        <row r="252">
          <cell r="A252">
            <v>21150</v>
          </cell>
          <cell r="X252">
            <v>127853</v>
          </cell>
          <cell r="Z252">
            <v>379698</v>
          </cell>
          <cell r="AA252">
            <v>64251</v>
          </cell>
        </row>
        <row r="253">
          <cell r="A253">
            <v>32098</v>
          </cell>
          <cell r="X253">
            <v>-2487</v>
          </cell>
          <cell r="Z253">
            <v>61370</v>
          </cell>
          <cell r="AA253">
            <v>134635</v>
          </cell>
        </row>
        <row r="254">
          <cell r="A254">
            <v>4520</v>
          </cell>
          <cell r="X254">
            <v>2630</v>
          </cell>
          <cell r="Z254">
            <v>11880</v>
          </cell>
          <cell r="AA254">
            <v>1709</v>
          </cell>
        </row>
        <row r="255">
          <cell r="A255">
            <v>9030</v>
          </cell>
          <cell r="X255">
            <v>-13538</v>
          </cell>
          <cell r="Z255">
            <v>16022</v>
          </cell>
          <cell r="AA255">
            <v>56093</v>
          </cell>
        </row>
        <row r="256">
          <cell r="A256">
            <v>20265</v>
          </cell>
          <cell r="X256">
            <v>-4512</v>
          </cell>
          <cell r="Z256">
            <v>80744</v>
          </cell>
          <cell r="AA256">
            <v>137082</v>
          </cell>
        </row>
        <row r="257">
          <cell r="A257">
            <v>20307</v>
          </cell>
          <cell r="X257">
            <v>66316</v>
          </cell>
          <cell r="Z257">
            <v>289878</v>
          </cell>
          <cell r="AA257">
            <v>104245</v>
          </cell>
        </row>
        <row r="258">
          <cell r="A258">
            <v>3320</v>
          </cell>
          <cell r="X258">
            <v>-161945</v>
          </cell>
          <cell r="Z258">
            <v>473206</v>
          </cell>
          <cell r="AA258">
            <v>1008752</v>
          </cell>
        </row>
        <row r="259">
          <cell r="A259">
            <v>20415</v>
          </cell>
          <cell r="X259">
            <v>10469</v>
          </cell>
          <cell r="Z259">
            <v>120554</v>
          </cell>
          <cell r="AA259">
            <v>97921</v>
          </cell>
        </row>
        <row r="260">
          <cell r="A260">
            <v>20435</v>
          </cell>
          <cell r="X260">
            <v>13726</v>
          </cell>
          <cell r="Z260">
            <v>142660</v>
          </cell>
          <cell r="AA260">
            <v>111930</v>
          </cell>
        </row>
        <row r="261">
          <cell r="A261">
            <v>20062</v>
          </cell>
          <cell r="X261">
            <v>33833</v>
          </cell>
          <cell r="Z261">
            <v>608335</v>
          </cell>
          <cell r="AA261">
            <v>179157</v>
          </cell>
        </row>
        <row r="262">
          <cell r="A262">
            <v>6020</v>
          </cell>
          <cell r="X262">
            <v>-11266</v>
          </cell>
          <cell r="Z262">
            <v>123502</v>
          </cell>
          <cell r="AA262">
            <v>79594</v>
          </cell>
        </row>
        <row r="263">
          <cell r="A263">
            <v>2394</v>
          </cell>
          <cell r="X263">
            <v>120359</v>
          </cell>
          <cell r="Z263">
            <v>261662</v>
          </cell>
          <cell r="AA263">
            <v>0</v>
          </cell>
        </row>
        <row r="264">
          <cell r="A264">
            <v>5015</v>
          </cell>
          <cell r="X264">
            <v>5558</v>
          </cell>
          <cell r="Z264">
            <v>190157</v>
          </cell>
          <cell r="AA264">
            <v>69756</v>
          </cell>
        </row>
        <row r="265">
          <cell r="A265">
            <v>29408</v>
          </cell>
          <cell r="X265">
            <v>98337</v>
          </cell>
          <cell r="Z265">
            <v>375806</v>
          </cell>
          <cell r="AA265">
            <v>0</v>
          </cell>
        </row>
        <row r="266">
          <cell r="A266">
            <v>2413</v>
          </cell>
          <cell r="X266">
            <v>-73931</v>
          </cell>
          <cell r="Z266">
            <v>0</v>
          </cell>
          <cell r="AA266">
            <v>214809</v>
          </cell>
        </row>
        <row r="267">
          <cell r="A267">
            <v>1398</v>
          </cell>
          <cell r="X267">
            <v>31808</v>
          </cell>
          <cell r="Z267">
            <v>115892</v>
          </cell>
          <cell r="AA267">
            <v>32670</v>
          </cell>
        </row>
        <row r="268">
          <cell r="A268">
            <v>2366</v>
          </cell>
          <cell r="X268">
            <v>-31836</v>
          </cell>
          <cell r="Z268">
            <v>33073</v>
          </cell>
          <cell r="AA268">
            <v>107559</v>
          </cell>
        </row>
        <row r="269">
          <cell r="A269">
            <v>7421</v>
          </cell>
          <cell r="X269">
            <v>-62205</v>
          </cell>
          <cell r="Z269">
            <v>70945</v>
          </cell>
          <cell r="AA269">
            <v>261996</v>
          </cell>
        </row>
        <row r="270">
          <cell r="A270">
            <v>2370</v>
          </cell>
          <cell r="X270">
            <v>9157</v>
          </cell>
          <cell r="Z270">
            <v>183897</v>
          </cell>
          <cell r="AA270">
            <v>66242</v>
          </cell>
        </row>
        <row r="271">
          <cell r="A271">
            <v>32094</v>
          </cell>
          <cell r="X271">
            <v>-8010</v>
          </cell>
          <cell r="Z271">
            <v>86409</v>
          </cell>
          <cell r="AA271">
            <v>52207</v>
          </cell>
        </row>
        <row r="272">
          <cell r="A272">
            <v>2790</v>
          </cell>
          <cell r="X272">
            <v>-7649</v>
          </cell>
          <cell r="Z272">
            <v>43445</v>
          </cell>
          <cell r="AA272">
            <v>57779</v>
          </cell>
        </row>
        <row r="273">
          <cell r="A273">
            <v>3330</v>
          </cell>
          <cell r="X273">
            <v>54219</v>
          </cell>
          <cell r="Z273">
            <v>327407</v>
          </cell>
          <cell r="AA273">
            <v>45668</v>
          </cell>
        </row>
        <row r="274">
          <cell r="A274">
            <v>2080</v>
          </cell>
          <cell r="X274">
            <v>82795</v>
          </cell>
          <cell r="Z274">
            <v>337506</v>
          </cell>
          <cell r="AA274">
            <v>194807</v>
          </cell>
        </row>
        <row r="275">
          <cell r="A275">
            <v>4290</v>
          </cell>
          <cell r="X275">
            <v>65722</v>
          </cell>
          <cell r="Z275">
            <v>152442</v>
          </cell>
          <cell r="AA275">
            <v>10253</v>
          </cell>
        </row>
        <row r="276">
          <cell r="A276">
            <v>2270</v>
          </cell>
          <cell r="X276">
            <v>-6492</v>
          </cell>
          <cell r="Z276">
            <v>8684</v>
          </cell>
          <cell r="AA276">
            <v>48184</v>
          </cell>
        </row>
        <row r="277">
          <cell r="A277">
            <v>2300</v>
          </cell>
          <cell r="X277">
            <v>-35330</v>
          </cell>
          <cell r="Z277">
            <v>7519</v>
          </cell>
          <cell r="AA277">
            <v>100410</v>
          </cell>
        </row>
        <row r="278">
          <cell r="A278">
            <v>2720</v>
          </cell>
          <cell r="X278">
            <v>-67242</v>
          </cell>
          <cell r="Z278">
            <v>108521</v>
          </cell>
          <cell r="AA278">
            <v>379165</v>
          </cell>
        </row>
        <row r="279">
          <cell r="A279">
            <v>2750</v>
          </cell>
          <cell r="X279">
            <v>-10764</v>
          </cell>
          <cell r="Z279">
            <v>14696</v>
          </cell>
          <cell r="AA279">
            <v>52397</v>
          </cell>
        </row>
        <row r="280">
          <cell r="A280">
            <v>2770</v>
          </cell>
          <cell r="X280">
            <v>-200936</v>
          </cell>
          <cell r="Z280">
            <v>62062</v>
          </cell>
          <cell r="AA280">
            <v>900320</v>
          </cell>
        </row>
        <row r="281">
          <cell r="A281">
            <v>32106</v>
          </cell>
          <cell r="X281">
            <v>73919</v>
          </cell>
          <cell r="Z281">
            <v>300331</v>
          </cell>
          <cell r="AA281">
            <v>82364</v>
          </cell>
        </row>
        <row r="282">
          <cell r="A282">
            <v>4180</v>
          </cell>
          <cell r="X282">
            <v>11686</v>
          </cell>
          <cell r="Z282">
            <v>100797</v>
          </cell>
          <cell r="AA282">
            <v>44925</v>
          </cell>
        </row>
        <row r="283">
          <cell r="A283">
            <v>21063</v>
          </cell>
          <cell r="X283">
            <v>-79348</v>
          </cell>
          <cell r="Z283">
            <v>284432</v>
          </cell>
          <cell r="AA283">
            <v>335051</v>
          </cell>
        </row>
        <row r="284">
          <cell r="A284">
            <v>10033</v>
          </cell>
          <cell r="X284">
            <v>-22545</v>
          </cell>
          <cell r="Z284">
            <v>129871</v>
          </cell>
          <cell r="AA284">
            <v>156089</v>
          </cell>
        </row>
        <row r="285">
          <cell r="A285">
            <v>15049</v>
          </cell>
          <cell r="X285">
            <v>-71849</v>
          </cell>
          <cell r="Z285">
            <v>0</v>
          </cell>
          <cell r="AA285">
            <v>168137</v>
          </cell>
        </row>
        <row r="286">
          <cell r="A286">
            <v>1315</v>
          </cell>
          <cell r="X286">
            <v>224151</v>
          </cell>
          <cell r="Z286">
            <v>736603</v>
          </cell>
          <cell r="AA286">
            <v>0</v>
          </cell>
        </row>
        <row r="287">
          <cell r="A287">
            <v>3340</v>
          </cell>
          <cell r="X287">
            <v>-19995</v>
          </cell>
          <cell r="Z287">
            <v>113371</v>
          </cell>
          <cell r="AA287">
            <v>160426</v>
          </cell>
        </row>
        <row r="288">
          <cell r="A288">
            <v>3350</v>
          </cell>
          <cell r="X288">
            <v>-513856</v>
          </cell>
          <cell r="Z288">
            <v>46001</v>
          </cell>
          <cell r="AA288">
            <v>2144105</v>
          </cell>
        </row>
        <row r="289">
          <cell r="A289">
            <v>24073</v>
          </cell>
          <cell r="X289">
            <v>3451</v>
          </cell>
          <cell r="Z289">
            <v>85497</v>
          </cell>
          <cell r="AA289">
            <v>31281</v>
          </cell>
        </row>
        <row r="290">
          <cell r="A290">
            <v>2100</v>
          </cell>
          <cell r="X290">
            <v>-2168</v>
          </cell>
          <cell r="Z290">
            <v>45603</v>
          </cell>
          <cell r="AA290">
            <v>65673</v>
          </cell>
        </row>
        <row r="291">
          <cell r="A291">
            <v>2130</v>
          </cell>
          <cell r="X291">
            <v>-1279</v>
          </cell>
          <cell r="Z291">
            <v>38333</v>
          </cell>
          <cell r="AA291">
            <v>57990</v>
          </cell>
        </row>
        <row r="292">
          <cell r="A292">
            <v>32099</v>
          </cell>
          <cell r="X292">
            <v>-23799</v>
          </cell>
          <cell r="Z292">
            <v>9680</v>
          </cell>
          <cell r="AA292">
            <v>86773</v>
          </cell>
        </row>
        <row r="293">
          <cell r="A293">
            <v>32100</v>
          </cell>
          <cell r="X293">
            <v>22988</v>
          </cell>
          <cell r="Z293">
            <v>105715</v>
          </cell>
          <cell r="AA293">
            <v>64251</v>
          </cell>
        </row>
        <row r="294">
          <cell r="A294">
            <v>32101</v>
          </cell>
          <cell r="X294">
            <v>-47061</v>
          </cell>
          <cell r="Z294">
            <v>14344</v>
          </cell>
          <cell r="AA294">
            <v>239113</v>
          </cell>
        </row>
        <row r="295">
          <cell r="A295">
            <v>32102</v>
          </cell>
          <cell r="X295">
            <v>-6484</v>
          </cell>
          <cell r="Z295">
            <v>39851</v>
          </cell>
          <cell r="AA295">
            <v>38755</v>
          </cell>
        </row>
        <row r="296">
          <cell r="A296">
            <v>2880</v>
          </cell>
          <cell r="X296">
            <v>5558</v>
          </cell>
          <cell r="Z296">
            <v>36224</v>
          </cell>
          <cell r="AA296">
            <v>14002</v>
          </cell>
        </row>
        <row r="297">
          <cell r="A297">
            <v>2490</v>
          </cell>
          <cell r="X297">
            <v>-16709</v>
          </cell>
          <cell r="Z297">
            <v>61987</v>
          </cell>
          <cell r="AA297">
            <v>155501</v>
          </cell>
        </row>
        <row r="298">
          <cell r="A298">
            <v>2530</v>
          </cell>
          <cell r="X298">
            <v>-29438</v>
          </cell>
          <cell r="Z298">
            <v>35089</v>
          </cell>
          <cell r="AA298">
            <v>196809</v>
          </cell>
        </row>
        <row r="299">
          <cell r="A299">
            <v>2560</v>
          </cell>
          <cell r="X299">
            <v>-23049</v>
          </cell>
          <cell r="Z299">
            <v>39956</v>
          </cell>
          <cell r="AA299">
            <v>141300</v>
          </cell>
        </row>
        <row r="300">
          <cell r="A300">
            <v>2610</v>
          </cell>
          <cell r="X300">
            <v>1660</v>
          </cell>
          <cell r="Z300">
            <v>13695</v>
          </cell>
          <cell r="AA300">
            <v>14012</v>
          </cell>
        </row>
        <row r="301">
          <cell r="A301">
            <v>2800</v>
          </cell>
          <cell r="X301">
            <v>30019</v>
          </cell>
          <cell r="Z301">
            <v>101213</v>
          </cell>
          <cell r="AA301">
            <v>7171</v>
          </cell>
        </row>
        <row r="302">
          <cell r="A302">
            <v>20317</v>
          </cell>
          <cell r="X302">
            <v>-2974</v>
          </cell>
          <cell r="Z302">
            <v>111064</v>
          </cell>
          <cell r="AA302">
            <v>153314</v>
          </cell>
        </row>
        <row r="303">
          <cell r="A303">
            <v>30090</v>
          </cell>
          <cell r="X303">
            <v>24066</v>
          </cell>
          <cell r="Z303">
            <v>223871</v>
          </cell>
          <cell r="AA303">
            <v>66082</v>
          </cell>
        </row>
        <row r="304">
          <cell r="A304">
            <v>29330</v>
          </cell>
          <cell r="X304">
            <v>2754</v>
          </cell>
          <cell r="Z304">
            <v>29222</v>
          </cell>
          <cell r="AA304">
            <v>55295</v>
          </cell>
        </row>
        <row r="305">
          <cell r="A305">
            <v>12038</v>
          </cell>
          <cell r="X305">
            <v>314322</v>
          </cell>
          <cell r="Z305">
            <v>1233226</v>
          </cell>
          <cell r="AA305">
            <v>0</v>
          </cell>
        </row>
        <row r="306">
          <cell r="A306">
            <v>8099</v>
          </cell>
          <cell r="X306">
            <v>-464253</v>
          </cell>
          <cell r="Z306">
            <v>236350</v>
          </cell>
          <cell r="AA306">
            <v>1267664</v>
          </cell>
        </row>
        <row r="307">
          <cell r="A307">
            <v>2442</v>
          </cell>
          <cell r="X307">
            <v>13525</v>
          </cell>
          <cell r="Z307">
            <v>67356</v>
          </cell>
          <cell r="AA307">
            <v>0</v>
          </cell>
        </row>
        <row r="308">
          <cell r="A308">
            <v>2417</v>
          </cell>
          <cell r="X308">
            <v>12762</v>
          </cell>
          <cell r="Z308">
            <v>51304</v>
          </cell>
          <cell r="AA308">
            <v>8202</v>
          </cell>
        </row>
        <row r="309">
          <cell r="A309">
            <v>13142</v>
          </cell>
          <cell r="X309">
            <v>-71275</v>
          </cell>
          <cell r="Z309">
            <v>211812</v>
          </cell>
          <cell r="AA309">
            <v>409910</v>
          </cell>
        </row>
        <row r="310">
          <cell r="A310">
            <v>17334</v>
          </cell>
          <cell r="X310">
            <v>-31515</v>
          </cell>
          <cell r="Z310">
            <v>3847</v>
          </cell>
          <cell r="AA310">
            <v>144288</v>
          </cell>
        </row>
        <row r="311">
          <cell r="A311">
            <v>2403</v>
          </cell>
          <cell r="X311">
            <v>179</v>
          </cell>
          <cell r="Z311">
            <v>126632</v>
          </cell>
          <cell r="AA311">
            <v>193890</v>
          </cell>
        </row>
        <row r="312">
          <cell r="A312">
            <v>16358</v>
          </cell>
          <cell r="X312">
            <v>-187729</v>
          </cell>
          <cell r="Z312">
            <v>2509</v>
          </cell>
          <cell r="AA312">
            <v>499454</v>
          </cell>
        </row>
        <row r="313">
          <cell r="A313">
            <v>2357</v>
          </cell>
          <cell r="X313">
            <v>-101126</v>
          </cell>
          <cell r="Z313">
            <v>0</v>
          </cell>
          <cell r="AA313">
            <v>255071</v>
          </cell>
        </row>
        <row r="314">
          <cell r="A314">
            <v>16357</v>
          </cell>
          <cell r="X314">
            <v>-177304</v>
          </cell>
          <cell r="Z314">
            <v>0</v>
          </cell>
          <cell r="AA314">
            <v>412433</v>
          </cell>
        </row>
        <row r="315">
          <cell r="A315">
            <v>7339</v>
          </cell>
          <cell r="X315">
            <v>-126242</v>
          </cell>
          <cell r="Z315">
            <v>0</v>
          </cell>
          <cell r="AA315">
            <v>325499</v>
          </cell>
        </row>
        <row r="316">
          <cell r="A316">
            <v>2344</v>
          </cell>
          <cell r="X316">
            <v>-207195</v>
          </cell>
          <cell r="Z316">
            <v>0</v>
          </cell>
          <cell r="AA316">
            <v>525070</v>
          </cell>
        </row>
        <row r="317">
          <cell r="A317">
            <v>2418</v>
          </cell>
          <cell r="X317">
            <v>-126433</v>
          </cell>
          <cell r="Z317">
            <v>0</v>
          </cell>
          <cell r="AA317">
            <v>217467</v>
          </cell>
        </row>
        <row r="318">
          <cell r="A318">
            <v>2345</v>
          </cell>
          <cell r="X318">
            <v>-108636</v>
          </cell>
          <cell r="Z318">
            <v>0</v>
          </cell>
          <cell r="AA318">
            <v>186852</v>
          </cell>
        </row>
        <row r="319">
          <cell r="A319">
            <v>13430</v>
          </cell>
          <cell r="X319">
            <v>-188678</v>
          </cell>
          <cell r="Z319">
            <v>0</v>
          </cell>
          <cell r="AA319">
            <v>324524</v>
          </cell>
        </row>
        <row r="321">
          <cell r="X321">
            <v>0</v>
          </cell>
          <cell r="Z321">
            <v>186315833</v>
          </cell>
          <cell r="AA321">
            <v>186315833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anessa Miranda" id="{6F883A0F-EEAE-44E6-8FBA-6743718EC5C4}" userId="S::VanessaM@mossadams.ma::b08a84b8-3f39-43b1-a8b7-cb73aef99dd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3-05-12T18:18:43.77" personId="{6F883A0F-EEAE-44E6-8FBA-6743718EC5C4}" id="{3F890991-AF56-4CB2-83B1-325293538152}">
    <text>plug of -5</text>
  </threadedComment>
  <threadedComment ref="L5" dT="2023-05-12T18:31:59.58" personId="{6F883A0F-EEAE-44E6-8FBA-6743718EC5C4}" id="{7F493A56-9526-4EBB-BE4E-3B87B50221D5}">
    <text>plug of -6</text>
  </threadedComment>
  <threadedComment ref="M5" dT="2023-05-12T18:32:29.49" personId="{6F883A0F-EEAE-44E6-8FBA-6743718EC5C4}" id="{8A356C7F-09DA-4764-92BA-40D18510F91C}">
    <text>plug of -6</text>
  </threadedComment>
  <threadedComment ref="N5" dT="2023-05-12T18:32:37.67" personId="{6F883A0F-EEAE-44E6-8FBA-6743718EC5C4}" id="{63135B47-8B5D-43A9-91CD-1DC05EA6D7F4}">
    <text>plug of -6</text>
  </threadedComment>
  <threadedComment ref="O5" dT="2023-05-12T18:32:48.27" personId="{6F883A0F-EEAE-44E6-8FBA-6743718EC5C4}" id="{EE05C575-6B9E-4B77-B4BC-445F5D1C981F}">
    <text>plug of -6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9279-EEFF-4F7D-AAA5-57146009EE14}">
  <dimension ref="B1:K145"/>
  <sheetViews>
    <sheetView tabSelected="1" topLeftCell="A118" workbookViewId="0">
      <selection activeCell="E17" sqref="E17"/>
    </sheetView>
  </sheetViews>
  <sheetFormatPr defaultColWidth="8.7109375" defaultRowHeight="15"/>
  <cols>
    <col min="1" max="1" width="2.28515625" style="132" customWidth="1"/>
    <col min="2" max="2" width="8.7109375" style="132"/>
    <col min="3" max="3" width="33.42578125" style="132" customWidth="1"/>
    <col min="4" max="4" width="8.7109375" style="132"/>
    <col min="5" max="5" width="24.28515625" style="132" customWidth="1"/>
    <col min="6" max="6" width="40.85546875" style="132" customWidth="1"/>
    <col min="7" max="7" width="16.28515625" style="132" bestFit="1" customWidth="1"/>
    <col min="8" max="8" width="19" style="132" customWidth="1"/>
    <col min="9" max="9" width="15.28515625" style="132" bestFit="1" customWidth="1"/>
    <col min="10" max="11" width="11" style="132" bestFit="1" customWidth="1"/>
    <col min="12" max="16384" width="8.7109375" style="132"/>
  </cols>
  <sheetData>
    <row r="1" spans="2:7">
      <c r="B1" s="237" t="s">
        <v>469</v>
      </c>
      <c r="C1" s="237"/>
      <c r="D1" s="237"/>
      <c r="E1" s="237"/>
      <c r="F1" s="237"/>
      <c r="G1" s="237"/>
    </row>
    <row r="2" spans="2:7">
      <c r="B2" s="237"/>
      <c r="C2" s="237"/>
      <c r="D2" s="237"/>
      <c r="E2" s="237"/>
      <c r="F2" s="237"/>
      <c r="G2" s="237"/>
    </row>
    <row r="3" spans="2:7" ht="15.75" thickBot="1">
      <c r="B3" s="237"/>
      <c r="C3" s="237"/>
      <c r="D3" s="237"/>
      <c r="E3" s="238" t="s">
        <v>470</v>
      </c>
      <c r="F3" s="238" t="s">
        <v>471</v>
      </c>
      <c r="G3" s="237"/>
    </row>
    <row r="4" spans="2:7" ht="16.5" thickTop="1" thickBot="1">
      <c r="B4" s="237" t="s">
        <v>472</v>
      </c>
      <c r="C4" s="237"/>
      <c r="D4" s="237"/>
      <c r="E4" s="112">
        <v>1003</v>
      </c>
      <c r="F4" s="239" t="str">
        <f>VLOOKUP(E4,'[1]Contribution Allocation_Report'!$A$9:$B$65536,2,FALSE)</f>
        <v>SANTA FE COMMUNITY COLLEGE</v>
      </c>
      <c r="G4" s="237"/>
    </row>
    <row r="5" spans="2:7" ht="15.75" thickTop="1">
      <c r="B5" s="237"/>
      <c r="C5" s="237"/>
      <c r="D5" s="237"/>
      <c r="E5" s="240"/>
      <c r="F5" s="237"/>
      <c r="G5" s="237"/>
    </row>
    <row r="6" spans="2:7">
      <c r="B6" s="237"/>
      <c r="C6" s="237"/>
      <c r="D6" s="237"/>
      <c r="E6" s="237"/>
      <c r="F6" s="237"/>
      <c r="G6" s="237"/>
    </row>
    <row r="7" spans="2:7">
      <c r="B7" s="237" t="s">
        <v>583</v>
      </c>
      <c r="C7" s="237"/>
      <c r="D7" s="237"/>
      <c r="E7" s="237"/>
      <c r="F7" s="237"/>
      <c r="G7" s="237"/>
    </row>
    <row r="8" spans="2:7" ht="15.75" thickBot="1">
      <c r="B8" s="237"/>
      <c r="C8" s="237"/>
      <c r="D8" s="237"/>
      <c r="E8" s="237"/>
      <c r="F8" s="237"/>
      <c r="G8" s="237"/>
    </row>
    <row r="9" spans="2:7" ht="16.5" thickTop="1" thickBot="1">
      <c r="B9" s="237"/>
      <c r="C9" s="237" t="s">
        <v>473</v>
      </c>
      <c r="D9" s="237"/>
      <c r="E9" s="111">
        <v>430000</v>
      </c>
      <c r="F9" s="241" t="s">
        <v>474</v>
      </c>
      <c r="G9" s="237"/>
    </row>
    <row r="10" spans="2:7" ht="16.5" thickTop="1" thickBot="1">
      <c r="B10" s="237"/>
      <c r="C10" s="237"/>
      <c r="D10" s="237"/>
      <c r="E10" s="110"/>
      <c r="F10" s="241"/>
      <c r="G10" s="237"/>
    </row>
    <row r="11" spans="2:7" ht="16.5" thickTop="1" thickBot="1">
      <c r="B11" s="237"/>
      <c r="C11" s="237" t="s">
        <v>475</v>
      </c>
      <c r="D11" s="237"/>
      <c r="E11" s="111">
        <v>21500000</v>
      </c>
      <c r="F11" s="241" t="s">
        <v>476</v>
      </c>
      <c r="G11" s="237"/>
    </row>
    <row r="12" spans="2:7" ht="15.75" thickTop="1">
      <c r="B12" s="237"/>
      <c r="C12" s="237"/>
      <c r="D12" s="237"/>
      <c r="E12" s="110"/>
      <c r="F12" s="241" t="s">
        <v>477</v>
      </c>
      <c r="G12" s="237"/>
    </row>
    <row r="13" spans="2:7">
      <c r="B13" s="237"/>
      <c r="C13" s="237"/>
      <c r="D13" s="237"/>
      <c r="E13" s="114"/>
      <c r="F13" s="237"/>
      <c r="G13" s="237"/>
    </row>
    <row r="14" spans="2:7">
      <c r="B14" s="237" t="s">
        <v>584</v>
      </c>
      <c r="C14" s="237"/>
      <c r="D14" s="237"/>
      <c r="E14" s="237"/>
      <c r="F14" s="237"/>
      <c r="G14" s="237"/>
    </row>
    <row r="15" spans="2:7" ht="15.75" thickBot="1">
      <c r="B15" s="237"/>
      <c r="C15" s="237"/>
      <c r="D15" s="237"/>
      <c r="E15" s="237"/>
      <c r="F15" s="237"/>
      <c r="G15" s="237"/>
    </row>
    <row r="16" spans="2:7" ht="16.5" thickTop="1" thickBot="1">
      <c r="B16" s="237"/>
      <c r="C16" s="237"/>
      <c r="D16" s="237"/>
      <c r="E16" s="111">
        <v>430214</v>
      </c>
      <c r="F16" s="241" t="s">
        <v>478</v>
      </c>
      <c r="G16" s="237"/>
    </row>
    <row r="17" spans="2:7" ht="15.75" thickTop="1">
      <c r="B17" s="237"/>
      <c r="C17" s="237"/>
      <c r="D17" s="237"/>
      <c r="E17" s="114"/>
      <c r="F17" s="241"/>
      <c r="G17" s="237"/>
    </row>
    <row r="18" spans="2:7">
      <c r="B18" s="238" t="s">
        <v>479</v>
      </c>
      <c r="C18" s="237"/>
      <c r="D18" s="237"/>
      <c r="E18" s="115" t="s">
        <v>480</v>
      </c>
      <c r="F18" s="238" t="s">
        <v>481</v>
      </c>
      <c r="G18" s="237"/>
    </row>
    <row r="19" spans="2:7">
      <c r="B19" s="237"/>
      <c r="C19" s="237"/>
      <c r="D19" s="237"/>
      <c r="E19" s="237"/>
      <c r="F19" s="237"/>
      <c r="G19" s="237"/>
    </row>
    <row r="20" spans="2:7">
      <c r="B20" s="237" t="s">
        <v>585</v>
      </c>
      <c r="C20" s="237"/>
      <c r="D20" s="237"/>
      <c r="E20" s="136">
        <f>VLOOKUP(E4,'Contribution Allocation_Report'!$A$9:$D$65536,4,FALSE)</f>
        <v>4.2350000873157328E-3</v>
      </c>
      <c r="F20" s="241" t="s">
        <v>482</v>
      </c>
      <c r="G20" s="237"/>
    </row>
    <row r="21" spans="2:7">
      <c r="B21" s="237"/>
      <c r="C21" s="237"/>
      <c r="D21" s="237"/>
      <c r="E21" s="237"/>
      <c r="F21" s="237"/>
      <c r="G21" s="237"/>
    </row>
    <row r="22" spans="2:7">
      <c r="B22" s="237" t="s">
        <v>376</v>
      </c>
      <c r="C22" s="237"/>
      <c r="D22" s="237"/>
      <c r="E22" s="137">
        <f>VLOOKUP($E$4,'OPEB Amounts_Report'!$A$10:$P$65536,8,FALSE)</f>
        <v>2386697</v>
      </c>
      <c r="F22" s="241" t="s">
        <v>393</v>
      </c>
      <c r="G22" s="237"/>
    </row>
    <row r="23" spans="2:7">
      <c r="B23" s="237"/>
      <c r="C23" s="237"/>
      <c r="D23" s="237"/>
      <c r="E23" s="237"/>
      <c r="F23" s="241"/>
      <c r="G23" s="237"/>
    </row>
    <row r="24" spans="2:7">
      <c r="B24" s="237" t="s">
        <v>296</v>
      </c>
      <c r="C24" s="237"/>
      <c r="D24" s="237"/>
      <c r="E24" s="137">
        <f>VLOOKUP($E$4,'OPEB Amounts_Report'!$A$10:$P$65536,13,FALSE)</f>
        <v>11445560</v>
      </c>
      <c r="F24" s="241" t="s">
        <v>393</v>
      </c>
      <c r="G24" s="237"/>
    </row>
    <row r="25" spans="2:7">
      <c r="B25" s="237"/>
      <c r="C25" s="237"/>
      <c r="D25" s="237"/>
      <c r="E25" s="237"/>
      <c r="F25" s="241"/>
      <c r="G25" s="237"/>
    </row>
    <row r="26" spans="2:7">
      <c r="B26" s="237" t="s">
        <v>483</v>
      </c>
      <c r="C26" s="237"/>
      <c r="D26" s="237"/>
      <c r="E26" s="137">
        <f>VLOOKUP($E$4,'OPEB Amounts_Report'!$A$10:$Q$65536,17,FALSE)</f>
        <v>-3216603</v>
      </c>
      <c r="F26" s="241" t="s">
        <v>393</v>
      </c>
      <c r="G26" s="237"/>
    </row>
    <row r="27" spans="2:7">
      <c r="B27" s="237"/>
      <c r="C27" s="237"/>
      <c r="D27" s="237"/>
      <c r="E27" s="237"/>
      <c r="F27" s="241"/>
      <c r="G27" s="237"/>
    </row>
    <row r="28" spans="2:7">
      <c r="B28" s="237" t="s">
        <v>484</v>
      </c>
      <c r="C28" s="237"/>
      <c r="D28" s="237"/>
      <c r="E28" s="137">
        <f>VLOOKUP($E$4,'OPEB Amounts_Report'!$A$10:$P$65536,3,FALSE)</f>
        <v>9789639</v>
      </c>
      <c r="F28" s="241" t="s">
        <v>393</v>
      </c>
      <c r="G28" s="237"/>
    </row>
    <row r="29" spans="2:7">
      <c r="B29" s="237"/>
      <c r="C29" s="237"/>
      <c r="D29" s="237"/>
      <c r="E29" s="237"/>
      <c r="F29" s="241"/>
      <c r="G29" s="237"/>
    </row>
    <row r="30" spans="2:7">
      <c r="B30" s="237"/>
      <c r="C30" s="237"/>
      <c r="D30" s="237"/>
      <c r="E30" s="237"/>
      <c r="F30" s="237"/>
      <c r="G30" s="237"/>
    </row>
    <row r="31" spans="2:7">
      <c r="B31" s="237" t="s">
        <v>485</v>
      </c>
      <c r="C31" s="237"/>
      <c r="D31" s="237"/>
      <c r="E31" s="237"/>
      <c r="F31" s="237"/>
      <c r="G31" s="237"/>
    </row>
    <row r="32" spans="2:7">
      <c r="B32" s="237"/>
      <c r="C32" s="237"/>
      <c r="D32" s="237"/>
      <c r="E32" s="237"/>
      <c r="F32" s="237"/>
      <c r="G32" s="237"/>
    </row>
    <row r="33" spans="2:11">
      <c r="B33" s="237" t="s">
        <v>486</v>
      </c>
      <c r="C33" s="237"/>
      <c r="D33" s="237"/>
      <c r="E33" s="242">
        <f>IFERROR(VLOOKUP($E$4,'PY_OPEB Amounts'!$A$4:$O$318,3,0),0)-E28</f>
        <v>4601035</v>
      </c>
      <c r="F33" s="237"/>
      <c r="G33" s="237"/>
    </row>
    <row r="34" spans="2:11">
      <c r="B34" s="237" t="s">
        <v>296</v>
      </c>
      <c r="C34" s="237"/>
      <c r="D34" s="237"/>
      <c r="E34" s="242">
        <f>IFERROR(VLOOKUP($E$4,'PY_OPEB Amounts'!$A$4:$O$318,13,0),0)-E24</f>
        <v>-249358</v>
      </c>
      <c r="F34" s="237"/>
      <c r="G34" s="119"/>
      <c r="H34" s="119"/>
      <c r="I34" s="118"/>
    </row>
    <row r="35" spans="2:11">
      <c r="B35" s="237" t="s">
        <v>376</v>
      </c>
      <c r="C35" s="237"/>
      <c r="D35" s="237"/>
      <c r="E35" s="242">
        <f>-IFERROR(VLOOKUP($E$4,'PY_OPEB Amounts'!$A$4:$O$318,7,0),0)+E22-E16</f>
        <v>-1135074</v>
      </c>
      <c r="F35" s="237"/>
      <c r="G35" s="119"/>
      <c r="H35" s="118"/>
      <c r="I35" s="118"/>
      <c r="J35" s="129"/>
      <c r="K35" s="129"/>
    </row>
    <row r="36" spans="2:11">
      <c r="B36" s="237" t="s">
        <v>397</v>
      </c>
      <c r="C36" s="237"/>
      <c r="D36" s="237"/>
      <c r="E36" s="243">
        <f>+E26</f>
        <v>-3216603</v>
      </c>
      <c r="F36" s="243"/>
      <c r="G36" s="237"/>
    </row>
    <row r="37" spans="2:11">
      <c r="B37" s="237" t="s">
        <v>487</v>
      </c>
      <c r="C37" s="237"/>
      <c r="D37" s="237"/>
      <c r="E37" s="243">
        <f>-SUM(E33:E36)</f>
        <v>0</v>
      </c>
      <c r="F37" s="241" t="s">
        <v>488</v>
      </c>
      <c r="G37" s="237"/>
    </row>
    <row r="38" spans="2:11">
      <c r="B38" s="237"/>
      <c r="C38" s="237"/>
      <c r="D38" s="237"/>
      <c r="E38" s="243"/>
      <c r="F38" s="244" t="s">
        <v>489</v>
      </c>
      <c r="G38" s="237"/>
    </row>
    <row r="39" spans="2:11">
      <c r="B39" s="237"/>
      <c r="C39" s="237"/>
      <c r="D39" s="237"/>
      <c r="E39" s="243"/>
      <c r="F39" s="244" t="s">
        <v>490</v>
      </c>
      <c r="G39" s="237"/>
    </row>
    <row r="40" spans="2:11">
      <c r="B40" s="237"/>
      <c r="C40" s="237"/>
      <c r="D40" s="237"/>
      <c r="E40" s="237"/>
      <c r="F40" s="237"/>
      <c r="G40" s="237"/>
    </row>
    <row r="41" spans="2:11">
      <c r="B41" s="237" t="s">
        <v>491</v>
      </c>
      <c r="C41" s="237"/>
      <c r="D41" s="237"/>
      <c r="E41" s="237"/>
      <c r="F41" s="237"/>
      <c r="G41" s="237"/>
    </row>
    <row r="42" spans="2:11">
      <c r="B42" s="237"/>
      <c r="C42" s="237"/>
      <c r="D42" s="237"/>
      <c r="E42" s="237"/>
      <c r="F42" s="237"/>
      <c r="G42" s="237"/>
    </row>
    <row r="43" spans="2:11">
      <c r="B43" s="237" t="s">
        <v>376</v>
      </c>
      <c r="C43" s="237"/>
      <c r="D43" s="237"/>
      <c r="E43" s="243">
        <f>+E9</f>
        <v>430000</v>
      </c>
      <c r="F43" s="237"/>
      <c r="G43" s="237"/>
    </row>
    <row r="44" spans="2:11">
      <c r="B44" s="237" t="s">
        <v>492</v>
      </c>
      <c r="C44" s="237"/>
      <c r="D44" s="237"/>
      <c r="E44" s="243">
        <f>-E43</f>
        <v>-430000</v>
      </c>
      <c r="F44" s="237"/>
      <c r="G44" s="237"/>
    </row>
    <row r="45" spans="2:11">
      <c r="B45" s="237"/>
      <c r="C45" s="237"/>
      <c r="D45" s="237"/>
      <c r="E45" s="237"/>
      <c r="F45" s="237"/>
      <c r="G45" s="237"/>
    </row>
    <row r="46" spans="2:11">
      <c r="B46" s="237"/>
      <c r="C46" s="237"/>
      <c r="D46" s="237"/>
      <c r="E46" s="237"/>
      <c r="F46" s="237"/>
      <c r="G46" s="237"/>
    </row>
    <row r="47" spans="2:11">
      <c r="B47" s="237" t="s">
        <v>493</v>
      </c>
      <c r="C47" s="237"/>
      <c r="D47" s="237"/>
      <c r="E47" s="237"/>
      <c r="F47" s="237"/>
      <c r="G47" s="237"/>
    </row>
    <row r="48" spans="2:11">
      <c r="B48" s="237"/>
      <c r="C48" s="237"/>
      <c r="D48" s="237"/>
      <c r="E48" s="237"/>
      <c r="F48" s="237"/>
      <c r="G48" s="237"/>
    </row>
    <row r="49" spans="2:7">
      <c r="B49" s="237"/>
      <c r="C49" s="237"/>
      <c r="D49" s="237"/>
      <c r="E49" s="237"/>
      <c r="F49" s="237"/>
      <c r="G49" s="237"/>
    </row>
    <row r="50" spans="2:7">
      <c r="B50" s="238" t="s">
        <v>494</v>
      </c>
      <c r="C50" s="237"/>
      <c r="D50" s="237"/>
      <c r="E50" s="237"/>
      <c r="F50" s="237"/>
      <c r="G50" s="237"/>
    </row>
    <row r="51" spans="2:7">
      <c r="B51" s="237"/>
      <c r="C51" s="237"/>
      <c r="D51" s="237"/>
      <c r="E51" s="237"/>
      <c r="F51" s="237"/>
      <c r="G51" s="237"/>
    </row>
    <row r="52" spans="2:7">
      <c r="B52" s="237"/>
      <c r="C52" s="245"/>
      <c r="D52" s="246" t="s">
        <v>556</v>
      </c>
      <c r="E52" s="138">
        <f>VLOOKUP($E$4,'Discount Rate Sensitivity'!$A$4:$E$313,3,FALSE)</f>
        <v>12182603</v>
      </c>
      <c r="F52" s="241" t="s">
        <v>395</v>
      </c>
      <c r="G52" s="237"/>
    </row>
    <row r="53" spans="2:7">
      <c r="B53" s="237"/>
      <c r="C53" s="245"/>
      <c r="D53" s="246" t="s">
        <v>557</v>
      </c>
      <c r="E53" s="138">
        <f>VLOOKUP($E$4,'Discount Rate Sensitivity'!$A$4:$E$313,4,FALSE)</f>
        <v>9789639</v>
      </c>
      <c r="F53" s="241" t="s">
        <v>395</v>
      </c>
      <c r="G53" s="237"/>
    </row>
    <row r="54" spans="2:7">
      <c r="B54" s="237"/>
      <c r="C54" s="245"/>
      <c r="D54" s="246" t="s">
        <v>558</v>
      </c>
      <c r="E54" s="138">
        <f>VLOOKUP($E$4,'Discount Rate Sensitivity'!$A$4:$E$313,5,FALSE)</f>
        <v>7881731</v>
      </c>
      <c r="F54" s="241" t="s">
        <v>395</v>
      </c>
      <c r="G54" s="237"/>
    </row>
    <row r="55" spans="2:7">
      <c r="B55" s="237"/>
      <c r="C55" s="237"/>
      <c r="D55" s="237"/>
      <c r="E55" s="237"/>
      <c r="F55" s="237"/>
      <c r="G55" s="237"/>
    </row>
    <row r="56" spans="2:7">
      <c r="B56" s="238" t="s">
        <v>495</v>
      </c>
      <c r="C56" s="237"/>
      <c r="D56" s="237"/>
      <c r="E56" s="237"/>
      <c r="F56" s="237"/>
      <c r="G56" s="237"/>
    </row>
    <row r="57" spans="2:7">
      <c r="B57" s="238"/>
      <c r="C57" s="237"/>
      <c r="D57" s="237"/>
      <c r="E57" s="237"/>
      <c r="F57" s="237"/>
      <c r="G57" s="237"/>
    </row>
    <row r="58" spans="2:7">
      <c r="B58" s="237"/>
      <c r="C58" s="237"/>
      <c r="D58" s="246" t="s">
        <v>328</v>
      </c>
      <c r="E58" s="138">
        <f>VLOOKUP($E$4,'Trend Rate Sensitivity'!$A$7:$E$313,3,FALSE)</f>
        <v>7844050</v>
      </c>
      <c r="F58" s="241" t="s">
        <v>396</v>
      </c>
      <c r="G58" s="237"/>
    </row>
    <row r="59" spans="2:7">
      <c r="B59" s="237"/>
      <c r="C59" s="237"/>
      <c r="D59" s="246" t="s">
        <v>422</v>
      </c>
      <c r="E59" s="138">
        <f>VLOOKUP($E$4,'Trend Rate Sensitivity'!$A$7:$E$313,4,FALSE)</f>
        <v>9789639</v>
      </c>
      <c r="F59" s="241" t="s">
        <v>396</v>
      </c>
      <c r="G59" s="237"/>
    </row>
    <row r="60" spans="2:7">
      <c r="B60" s="237"/>
      <c r="C60" s="237"/>
      <c r="D60" s="246" t="s">
        <v>329</v>
      </c>
      <c r="E60" s="138">
        <f>VLOOKUP($E$4,'Trend Rate Sensitivity'!$A$7:$E$313,5,FALSE)</f>
        <v>11447791</v>
      </c>
      <c r="F60" s="241" t="s">
        <v>396</v>
      </c>
      <c r="G60" s="237"/>
    </row>
    <row r="61" spans="2:7">
      <c r="B61" s="237"/>
      <c r="C61" s="237"/>
      <c r="D61" s="237"/>
      <c r="E61" s="237"/>
      <c r="F61" s="237"/>
      <c r="G61" s="237"/>
    </row>
    <row r="62" spans="2:7">
      <c r="B62" s="237"/>
      <c r="C62" s="237"/>
      <c r="D62" s="237"/>
      <c r="E62" s="237"/>
      <c r="F62" s="237"/>
      <c r="G62" s="237"/>
    </row>
    <row r="63" spans="2:7">
      <c r="B63" s="238" t="s">
        <v>496</v>
      </c>
      <c r="C63" s="237"/>
      <c r="D63" s="237"/>
      <c r="E63" s="237"/>
      <c r="F63" s="237"/>
      <c r="G63" s="237"/>
    </row>
    <row r="64" spans="2:7">
      <c r="B64" s="237"/>
      <c r="C64" s="237"/>
      <c r="D64" s="237"/>
      <c r="E64" s="237"/>
      <c r="F64" s="237"/>
      <c r="G64" s="237"/>
    </row>
    <row r="65" spans="2:7">
      <c r="B65" s="247" t="s">
        <v>376</v>
      </c>
      <c r="C65" s="237"/>
      <c r="D65" s="237"/>
      <c r="E65" s="248" t="s">
        <v>480</v>
      </c>
      <c r="F65" s="237"/>
      <c r="G65" s="237"/>
    </row>
    <row r="66" spans="2:7">
      <c r="B66" s="247"/>
      <c r="C66" s="237"/>
      <c r="D66" s="237"/>
      <c r="E66" s="248"/>
      <c r="F66" s="237"/>
      <c r="G66" s="237"/>
    </row>
    <row r="67" spans="2:7">
      <c r="B67" s="249" t="s">
        <v>503</v>
      </c>
      <c r="C67" s="237"/>
      <c r="D67" s="237"/>
      <c r="E67" s="237"/>
      <c r="F67" s="237"/>
      <c r="G67" s="237"/>
    </row>
    <row r="68" spans="2:7">
      <c r="B68" s="250" t="s">
        <v>504</v>
      </c>
      <c r="C68" s="237"/>
      <c r="D68" s="237"/>
      <c r="E68" s="138">
        <f>VLOOKUP($E$4,'OPEB Amounts_Report'!$A$10:$P$65536,4,FALSE)</f>
        <v>162830</v>
      </c>
      <c r="F68" s="241" t="s">
        <v>393</v>
      </c>
      <c r="G68" s="237"/>
    </row>
    <row r="69" spans="2:7">
      <c r="B69" s="250"/>
      <c r="C69" s="237"/>
      <c r="D69" s="237"/>
      <c r="E69" s="138"/>
      <c r="F69" s="241"/>
      <c r="G69" s="237"/>
    </row>
    <row r="70" spans="2:7">
      <c r="B70" s="249" t="s">
        <v>497</v>
      </c>
      <c r="C70" s="237"/>
      <c r="D70" s="237"/>
      <c r="E70" s="138"/>
      <c r="F70" s="241"/>
      <c r="G70" s="237"/>
    </row>
    <row r="71" spans="2:7">
      <c r="B71" s="250" t="s">
        <v>498</v>
      </c>
      <c r="C71" s="237"/>
      <c r="D71" s="237"/>
      <c r="E71" s="138"/>
      <c r="F71" s="241"/>
      <c r="G71" s="237"/>
    </row>
    <row r="72" spans="2:7">
      <c r="B72" s="250" t="s">
        <v>499</v>
      </c>
      <c r="C72" s="237"/>
      <c r="D72" s="237"/>
      <c r="E72" s="138">
        <f>VLOOKUP($E$4,'OPEB Amounts_Report'!$A$10:$P$65536,5,FALSE)</f>
        <v>134990</v>
      </c>
      <c r="F72" s="241" t="s">
        <v>393</v>
      </c>
      <c r="G72" s="237"/>
    </row>
    <row r="73" spans="2:7">
      <c r="B73" s="250"/>
      <c r="C73" s="237"/>
      <c r="D73" s="237"/>
      <c r="E73" s="138"/>
      <c r="F73" s="241"/>
      <c r="G73" s="237"/>
    </row>
    <row r="74" spans="2:7">
      <c r="B74" s="247"/>
      <c r="C74" s="237"/>
      <c r="D74" s="237"/>
      <c r="E74" s="248"/>
      <c r="F74" s="237"/>
      <c r="G74" s="237"/>
    </row>
    <row r="75" spans="2:7">
      <c r="B75" s="249" t="s">
        <v>299</v>
      </c>
      <c r="C75" s="237"/>
      <c r="D75" s="237"/>
      <c r="E75" s="138">
        <f>VLOOKUP($E$4,'OPEB Amounts_Report'!$A$10:$P$65536,6,FALSE)</f>
        <v>2088877</v>
      </c>
      <c r="F75" s="241" t="s">
        <v>393</v>
      </c>
      <c r="G75" s="237"/>
    </row>
    <row r="76" spans="2:7">
      <c r="B76" s="249"/>
      <c r="C76" s="237"/>
      <c r="D76" s="237"/>
      <c r="E76" s="237"/>
      <c r="F76" s="237"/>
      <c r="G76" s="237"/>
    </row>
    <row r="77" spans="2:7">
      <c r="B77" s="237" t="s">
        <v>500</v>
      </c>
      <c r="C77" s="237"/>
      <c r="D77" s="237"/>
      <c r="E77" s="138">
        <f>VLOOKUP($E$4,'OPEB Amounts_Report'!$A$10:$P$65536,7,FALSE)</f>
        <v>0</v>
      </c>
      <c r="F77" s="241" t="s">
        <v>393</v>
      </c>
      <c r="G77" s="237"/>
    </row>
    <row r="78" spans="2:7">
      <c r="B78" s="237"/>
      <c r="C78" s="237"/>
      <c r="D78" s="237"/>
      <c r="E78" s="237"/>
      <c r="F78" s="237"/>
      <c r="G78" s="237"/>
    </row>
    <row r="79" spans="2:7">
      <c r="B79" s="237" t="s">
        <v>501</v>
      </c>
      <c r="C79" s="237"/>
      <c r="D79" s="237"/>
      <c r="E79" s="237"/>
      <c r="F79" s="237"/>
      <c r="G79" s="237"/>
    </row>
    <row r="80" spans="2:7">
      <c r="B80" s="251" t="s">
        <v>502</v>
      </c>
      <c r="C80" s="237"/>
      <c r="D80" s="237"/>
      <c r="E80" s="243">
        <f>+E9</f>
        <v>430000</v>
      </c>
      <c r="F80" s="241" t="s">
        <v>474</v>
      </c>
      <c r="G80" s="237"/>
    </row>
    <row r="81" spans="2:7">
      <c r="B81" s="237"/>
      <c r="C81" s="237"/>
      <c r="D81" s="237"/>
      <c r="E81" s="237"/>
      <c r="F81" s="237"/>
      <c r="G81" s="237"/>
    </row>
    <row r="82" spans="2:7" ht="15.75" thickBot="1">
      <c r="B82" s="237" t="s">
        <v>378</v>
      </c>
      <c r="C82" s="237"/>
      <c r="D82" s="237"/>
      <c r="E82" s="252">
        <f>SUM(E68:E81)</f>
        <v>2816697</v>
      </c>
      <c r="F82" s="237"/>
      <c r="G82" s="237"/>
    </row>
    <row r="83" spans="2:7" ht="15.75" thickTop="1">
      <c r="B83" s="237"/>
      <c r="C83" s="237"/>
      <c r="D83" s="237"/>
      <c r="E83" s="237"/>
      <c r="F83" s="237"/>
      <c r="G83" s="237"/>
    </row>
    <row r="84" spans="2:7">
      <c r="B84" s="247" t="s">
        <v>296</v>
      </c>
      <c r="C84" s="247"/>
      <c r="D84" s="247"/>
      <c r="E84" s="248" t="s">
        <v>480</v>
      </c>
      <c r="F84" s="237"/>
      <c r="G84" s="237"/>
    </row>
    <row r="85" spans="2:7">
      <c r="B85" s="237"/>
      <c r="C85" s="237"/>
      <c r="D85" s="237"/>
      <c r="E85" s="237"/>
      <c r="F85" s="237"/>
      <c r="G85" s="237"/>
    </row>
    <row r="86" spans="2:7">
      <c r="B86" s="249" t="s">
        <v>503</v>
      </c>
      <c r="C86" s="237"/>
      <c r="D86" s="237"/>
      <c r="E86" s="237"/>
      <c r="F86" s="237"/>
      <c r="G86" s="237"/>
    </row>
    <row r="87" spans="2:7">
      <c r="B87" s="250" t="s">
        <v>504</v>
      </c>
      <c r="C87" s="237"/>
      <c r="D87" s="237"/>
      <c r="E87" s="138">
        <f>VLOOKUP($E$4,'OPEB Amounts_Report'!$A$10:$P$65536,10,FALSE)</f>
        <v>1451032</v>
      </c>
      <c r="F87" s="241" t="s">
        <v>393</v>
      </c>
      <c r="G87" s="237"/>
    </row>
    <row r="88" spans="2:7">
      <c r="B88" s="250"/>
      <c r="C88" s="237"/>
      <c r="D88" s="237"/>
      <c r="E88" s="116"/>
      <c r="F88" s="241"/>
      <c r="G88" s="237"/>
    </row>
    <row r="89" spans="2:7">
      <c r="B89" s="249" t="s">
        <v>299</v>
      </c>
      <c r="C89" s="237"/>
      <c r="D89" s="237"/>
      <c r="E89" s="138">
        <f>VLOOKUP($E$4,'OPEB Amounts_Report'!$A$10:$P$65536,11,FALSE)</f>
        <v>7256949</v>
      </c>
      <c r="F89" s="241" t="s">
        <v>393</v>
      </c>
      <c r="G89" s="237"/>
    </row>
    <row r="90" spans="2:7">
      <c r="B90" s="249"/>
      <c r="C90" s="237"/>
      <c r="D90" s="237"/>
      <c r="E90" s="116"/>
      <c r="F90" s="241"/>
      <c r="G90" s="237"/>
    </row>
    <row r="91" spans="2:7">
      <c r="B91" s="249" t="s">
        <v>500</v>
      </c>
      <c r="C91" s="237"/>
      <c r="D91" s="237"/>
      <c r="E91" s="138">
        <f>VLOOKUP($E$4,'OPEB Amounts_Report'!$A$10:$P$65536,12,FALSE)</f>
        <v>2737579</v>
      </c>
      <c r="F91" s="241" t="s">
        <v>393</v>
      </c>
      <c r="G91" s="237"/>
    </row>
    <row r="92" spans="2:7">
      <c r="B92" s="249"/>
      <c r="C92" s="237"/>
      <c r="D92" s="237"/>
      <c r="E92" s="116"/>
      <c r="F92" s="241"/>
      <c r="G92" s="237"/>
    </row>
    <row r="93" spans="2:7" ht="15.75" thickBot="1">
      <c r="B93" s="237" t="s">
        <v>300</v>
      </c>
      <c r="C93" s="237"/>
      <c r="D93" s="237"/>
      <c r="E93" s="252">
        <f>SUM(E87:E92)</f>
        <v>11445560</v>
      </c>
      <c r="F93" s="237"/>
      <c r="G93" s="237"/>
    </row>
    <row r="94" spans="2:7" ht="15.75" thickTop="1">
      <c r="B94" s="237"/>
      <c r="C94" s="237"/>
      <c r="D94" s="237"/>
      <c r="E94" s="237"/>
      <c r="F94" s="237"/>
      <c r="G94" s="237"/>
    </row>
    <row r="95" spans="2:7">
      <c r="B95" s="237"/>
      <c r="C95" s="237"/>
      <c r="D95" s="237"/>
      <c r="E95" s="237"/>
      <c r="F95" s="237"/>
      <c r="G95" s="237"/>
    </row>
    <row r="96" spans="2:7">
      <c r="B96" s="238" t="s">
        <v>301</v>
      </c>
      <c r="C96" s="237"/>
      <c r="D96" s="237"/>
      <c r="E96" s="237"/>
      <c r="F96" s="237"/>
      <c r="G96" s="237"/>
    </row>
    <row r="97" spans="2:7">
      <c r="B97" s="237"/>
      <c r="C97" s="237"/>
      <c r="D97" s="237"/>
      <c r="E97" s="237"/>
      <c r="F97" s="237"/>
      <c r="G97" s="237"/>
    </row>
    <row r="98" spans="2:7">
      <c r="B98" s="237"/>
      <c r="C98" s="237"/>
      <c r="D98" s="240" t="s">
        <v>505</v>
      </c>
      <c r="E98" s="240" t="s">
        <v>480</v>
      </c>
      <c r="F98" s="237"/>
      <c r="G98" s="237"/>
    </row>
    <row r="99" spans="2:7">
      <c r="B99" s="237"/>
      <c r="C99" s="237"/>
      <c r="D99" s="237">
        <v>2024</v>
      </c>
      <c r="E99" s="138">
        <f>VLOOKUP($E$4,'Amortization Tables_Report'!$A$10:$G$319,3,FALSE)</f>
        <v>-3002566</v>
      </c>
      <c r="F99" s="241" t="s">
        <v>506</v>
      </c>
      <c r="G99" s="237"/>
    </row>
    <row r="100" spans="2:7">
      <c r="B100" s="237"/>
      <c r="C100" s="237"/>
      <c r="D100" s="237">
        <v>2025</v>
      </c>
      <c r="E100" s="138">
        <f>VLOOKUP($E$4,'Amortization Tables_Report'!$A$10:$G$319,4,FALSE)</f>
        <v>-2088016</v>
      </c>
      <c r="F100" s="241" t="s">
        <v>506</v>
      </c>
      <c r="G100" s="237"/>
    </row>
    <row r="101" spans="2:7">
      <c r="B101" s="237"/>
      <c r="C101" s="237"/>
      <c r="D101" s="237">
        <v>2026</v>
      </c>
      <c r="E101" s="138">
        <f>VLOOKUP($E$4,'Amortization Tables_Report'!$A$10:$G$319,5,FALSE)</f>
        <v>-1434893</v>
      </c>
      <c r="F101" s="241" t="s">
        <v>506</v>
      </c>
      <c r="G101" s="237"/>
    </row>
    <row r="102" spans="2:7">
      <c r="B102" s="237"/>
      <c r="C102" s="237"/>
      <c r="D102" s="237">
        <v>2027</v>
      </c>
      <c r="E102" s="138">
        <f>VLOOKUP($E$4,'Amortization Tables_Report'!$A$10:$G$319,6,FALSE)</f>
        <v>-1698099</v>
      </c>
      <c r="F102" s="241" t="s">
        <v>506</v>
      </c>
      <c r="G102" s="237"/>
    </row>
    <row r="103" spans="2:7">
      <c r="B103" s="237"/>
      <c r="C103" s="237"/>
      <c r="D103" s="237">
        <v>2028</v>
      </c>
      <c r="E103" s="138">
        <f>VLOOKUP($E$4,'Amortization Tables_Report'!$A$10:$G$319,7,FALSE)</f>
        <v>-835289</v>
      </c>
      <c r="F103" s="241" t="s">
        <v>506</v>
      </c>
      <c r="G103" s="237"/>
    </row>
    <row r="104" spans="2:7" ht="15.75" thickBot="1">
      <c r="B104" s="237"/>
      <c r="C104" s="237"/>
      <c r="D104" s="240" t="s">
        <v>372</v>
      </c>
      <c r="E104" s="252">
        <f>SUM(E99:E103)</f>
        <v>-9058863</v>
      </c>
      <c r="F104" s="237"/>
      <c r="G104" s="237"/>
    </row>
    <row r="105" spans="2:7" ht="15.75" thickTop="1">
      <c r="B105" s="237"/>
      <c r="C105" s="237"/>
      <c r="D105" s="237"/>
      <c r="E105" s="237"/>
      <c r="F105" s="243"/>
      <c r="G105" s="237"/>
    </row>
    <row r="106" spans="2:7">
      <c r="B106" s="237"/>
      <c r="C106" s="237"/>
      <c r="D106" s="237"/>
      <c r="E106" s="237"/>
      <c r="F106" s="237"/>
      <c r="G106" s="237"/>
    </row>
    <row r="107" spans="2:7">
      <c r="B107" s="238" t="s">
        <v>507</v>
      </c>
      <c r="C107" s="237"/>
      <c r="D107" s="237"/>
      <c r="E107" s="237"/>
      <c r="F107" s="237"/>
      <c r="G107" s="237"/>
    </row>
    <row r="108" spans="2:7">
      <c r="B108" s="237"/>
      <c r="C108" s="237"/>
      <c r="D108" s="237"/>
      <c r="E108" s="237"/>
      <c r="F108" s="237"/>
      <c r="G108" s="237"/>
    </row>
    <row r="109" spans="2:7">
      <c r="B109" s="237" t="s">
        <v>508</v>
      </c>
      <c r="C109" s="237"/>
      <c r="D109" s="237"/>
      <c r="E109" s="237"/>
      <c r="F109" s="237"/>
      <c r="G109" s="237"/>
    </row>
    <row r="110" spans="2:7">
      <c r="B110" s="237"/>
      <c r="C110" s="237"/>
      <c r="D110" s="237"/>
      <c r="E110" s="237"/>
      <c r="F110" s="237"/>
      <c r="G110" s="237"/>
    </row>
    <row r="111" spans="2:7">
      <c r="B111" s="237"/>
      <c r="C111" s="237"/>
      <c r="D111" s="237"/>
      <c r="E111" s="253">
        <v>2023</v>
      </c>
      <c r="F111" s="237"/>
      <c r="G111" s="237"/>
    </row>
    <row r="112" spans="2:7">
      <c r="B112" s="237"/>
      <c r="C112" s="237"/>
      <c r="D112" s="237"/>
      <c r="E112" s="240"/>
      <c r="F112" s="237"/>
      <c r="G112" s="237"/>
    </row>
    <row r="113" spans="2:7">
      <c r="B113" s="237" t="s">
        <v>509</v>
      </c>
      <c r="C113" s="237"/>
      <c r="D113" s="237"/>
      <c r="E113" s="237"/>
      <c r="F113" s="237"/>
      <c r="G113" s="237"/>
    </row>
    <row r="114" spans="2:7">
      <c r="B114" s="237" t="s">
        <v>510</v>
      </c>
      <c r="C114" s="237"/>
      <c r="D114" s="237"/>
      <c r="E114" s="254">
        <f>+E20</f>
        <v>4.2350000873157328E-3</v>
      </c>
      <c r="F114" s="241" t="s">
        <v>482</v>
      </c>
      <c r="G114" s="237"/>
    </row>
    <row r="115" spans="2:7">
      <c r="B115" s="237"/>
      <c r="C115" s="237"/>
      <c r="D115" s="237"/>
      <c r="E115" s="237"/>
      <c r="F115" s="237"/>
      <c r="G115" s="237"/>
    </row>
    <row r="116" spans="2:7">
      <c r="B116" s="237" t="s">
        <v>511</v>
      </c>
      <c r="C116" s="237"/>
      <c r="D116" s="237"/>
      <c r="E116" s="237"/>
      <c r="F116" s="237"/>
      <c r="G116" s="237"/>
    </row>
    <row r="117" spans="2:7">
      <c r="B117" s="237" t="s">
        <v>512</v>
      </c>
      <c r="C117" s="237"/>
      <c r="D117" s="237"/>
      <c r="E117" s="117">
        <f>+E28</f>
        <v>9789639</v>
      </c>
      <c r="F117" s="241" t="s">
        <v>393</v>
      </c>
      <c r="G117" s="237"/>
    </row>
    <row r="118" spans="2:7">
      <c r="B118" s="237"/>
      <c r="C118" s="237"/>
      <c r="D118" s="237"/>
      <c r="E118" s="237"/>
      <c r="F118" s="237"/>
      <c r="G118" s="237"/>
    </row>
    <row r="119" spans="2:7">
      <c r="B119" s="237" t="s">
        <v>513</v>
      </c>
      <c r="C119" s="237"/>
      <c r="D119" s="237"/>
      <c r="E119" s="117">
        <f>+E114*4745115641</f>
        <v>20095565.15395825</v>
      </c>
      <c r="F119" s="241" t="s">
        <v>586</v>
      </c>
      <c r="G119" s="237"/>
    </row>
    <row r="120" spans="2:7">
      <c r="B120" s="237"/>
      <c r="C120" s="237"/>
      <c r="D120" s="237"/>
      <c r="E120" s="237"/>
      <c r="F120" s="244" t="s">
        <v>514</v>
      </c>
      <c r="G120" s="237"/>
    </row>
    <row r="121" spans="2:7">
      <c r="B121" s="237"/>
      <c r="C121" s="237"/>
      <c r="D121" s="237"/>
      <c r="E121" s="237"/>
      <c r="F121" s="237"/>
      <c r="G121" s="237"/>
    </row>
    <row r="122" spans="2:7">
      <c r="B122" s="237" t="s">
        <v>515</v>
      </c>
      <c r="C122" s="237"/>
      <c r="D122" s="237"/>
      <c r="E122" s="237"/>
      <c r="F122" s="237"/>
      <c r="G122" s="237"/>
    </row>
    <row r="123" spans="2:7">
      <c r="B123" s="237" t="s">
        <v>516</v>
      </c>
      <c r="C123" s="237"/>
      <c r="D123" s="237"/>
      <c r="E123" s="237"/>
      <c r="F123" s="237"/>
      <c r="G123" s="237"/>
    </row>
    <row r="124" spans="2:7">
      <c r="B124" s="237" t="s">
        <v>517</v>
      </c>
      <c r="C124" s="237"/>
      <c r="D124" s="237"/>
      <c r="E124" s="113">
        <v>0.48720000000000002</v>
      </c>
      <c r="F124" s="241" t="s">
        <v>518</v>
      </c>
      <c r="G124" s="237"/>
    </row>
    <row r="125" spans="2:7">
      <c r="B125" s="237"/>
      <c r="C125" s="237"/>
      <c r="D125" s="237"/>
      <c r="E125" s="237"/>
      <c r="F125" s="237"/>
      <c r="G125" s="237"/>
    </row>
    <row r="126" spans="2:7">
      <c r="B126" s="237" t="s">
        <v>519</v>
      </c>
      <c r="C126" s="237"/>
      <c r="D126" s="237"/>
      <c r="E126" s="237"/>
      <c r="F126" s="237"/>
      <c r="G126" s="237"/>
    </row>
    <row r="127" spans="2:7">
      <c r="B127" s="237" t="s">
        <v>520</v>
      </c>
      <c r="C127" s="237"/>
      <c r="D127" s="237"/>
      <c r="E127" s="237"/>
      <c r="F127" s="237"/>
      <c r="G127" s="237"/>
    </row>
    <row r="128" spans="2:7">
      <c r="B128" s="237" t="s">
        <v>510</v>
      </c>
      <c r="C128" s="237"/>
      <c r="D128" s="237"/>
      <c r="E128" s="255">
        <v>0.33329999999999999</v>
      </c>
      <c r="F128" s="241" t="s">
        <v>587</v>
      </c>
      <c r="G128" s="237"/>
    </row>
    <row r="129" spans="2:7">
      <c r="B129" s="237"/>
      <c r="C129" s="237"/>
      <c r="D129" s="237"/>
      <c r="E129" s="237"/>
      <c r="F129" s="237"/>
      <c r="G129" s="237"/>
    </row>
    <row r="130" spans="2:7">
      <c r="B130" s="237"/>
      <c r="C130" s="237"/>
      <c r="D130" s="237"/>
      <c r="E130" s="237"/>
      <c r="F130" s="237"/>
      <c r="G130" s="237"/>
    </row>
    <row r="131" spans="2:7">
      <c r="B131" s="237" t="s">
        <v>521</v>
      </c>
      <c r="C131" s="237"/>
      <c r="D131" s="237"/>
      <c r="E131" s="237"/>
      <c r="F131" s="237"/>
      <c r="G131" s="237"/>
    </row>
    <row r="132" spans="2:7">
      <c r="B132" s="237"/>
      <c r="C132" s="237"/>
      <c r="D132" s="237"/>
      <c r="E132" s="237"/>
      <c r="F132" s="237"/>
      <c r="G132" s="237"/>
    </row>
    <row r="133" spans="2:7">
      <c r="B133" s="237"/>
      <c r="C133" s="237"/>
      <c r="D133" s="237"/>
      <c r="E133" s="253">
        <v>2023</v>
      </c>
      <c r="F133" s="237"/>
      <c r="G133" s="237"/>
    </row>
    <row r="134" spans="2:7">
      <c r="B134" s="237"/>
      <c r="C134" s="237"/>
      <c r="D134" s="237"/>
      <c r="E134" s="240"/>
      <c r="F134" s="237"/>
      <c r="G134" s="237"/>
    </row>
    <row r="135" spans="2:7">
      <c r="B135" s="237" t="s">
        <v>522</v>
      </c>
      <c r="C135" s="237"/>
      <c r="D135" s="237"/>
      <c r="E135" s="117">
        <f>+E9</f>
        <v>430000</v>
      </c>
      <c r="F135" s="241" t="s">
        <v>474</v>
      </c>
      <c r="G135" s="237"/>
    </row>
    <row r="136" spans="2:7">
      <c r="B136" s="237"/>
      <c r="C136" s="237"/>
      <c r="D136" s="237"/>
      <c r="E136" s="237"/>
      <c r="F136" s="237"/>
      <c r="G136" s="237"/>
    </row>
    <row r="137" spans="2:7">
      <c r="B137" s="237" t="s">
        <v>523</v>
      </c>
      <c r="C137" s="237"/>
      <c r="D137" s="237"/>
      <c r="E137" s="237"/>
      <c r="F137" s="237"/>
      <c r="G137" s="237"/>
    </row>
    <row r="138" spans="2:7">
      <c r="B138" s="237" t="s">
        <v>524</v>
      </c>
      <c r="C138" s="237"/>
      <c r="D138" s="237"/>
      <c r="E138" s="116">
        <f>+E9</f>
        <v>430000</v>
      </c>
      <c r="F138" s="241" t="s">
        <v>518</v>
      </c>
      <c r="G138" s="237"/>
    </row>
    <row r="139" spans="2:7">
      <c r="B139" s="237"/>
      <c r="C139" s="237"/>
      <c r="D139" s="237"/>
      <c r="E139" s="116"/>
      <c r="F139" s="237"/>
      <c r="G139" s="237"/>
    </row>
    <row r="140" spans="2:7" ht="15.75" thickBot="1">
      <c r="B140" s="237" t="s">
        <v>525</v>
      </c>
      <c r="C140" s="237"/>
      <c r="D140" s="237"/>
      <c r="E140" s="256">
        <v>0</v>
      </c>
      <c r="F140" s="237"/>
      <c r="G140" s="237"/>
    </row>
    <row r="141" spans="2:7" ht="15.75" thickTop="1">
      <c r="B141" s="237"/>
      <c r="C141" s="237"/>
      <c r="D141" s="237"/>
      <c r="E141" s="237"/>
      <c r="F141" s="237"/>
      <c r="G141" s="237"/>
    </row>
    <row r="142" spans="2:7">
      <c r="B142" s="237" t="s">
        <v>526</v>
      </c>
      <c r="C142" s="237"/>
      <c r="D142" s="237"/>
      <c r="E142" s="117">
        <f>+E11</f>
        <v>21500000</v>
      </c>
      <c r="F142" s="241" t="s">
        <v>602</v>
      </c>
      <c r="G142" s="237"/>
    </row>
    <row r="143" spans="2:7">
      <c r="B143" s="237"/>
      <c r="C143" s="237"/>
      <c r="D143" s="237"/>
      <c r="E143" s="237"/>
      <c r="F143" s="244" t="s">
        <v>527</v>
      </c>
      <c r="G143" s="237"/>
    </row>
    <row r="144" spans="2:7">
      <c r="B144" s="237" t="s">
        <v>528</v>
      </c>
      <c r="C144" s="237"/>
      <c r="D144" s="237"/>
      <c r="E144" s="237"/>
      <c r="F144" s="237"/>
      <c r="G144" s="237"/>
    </row>
    <row r="145" spans="2:7">
      <c r="B145" s="237" t="s">
        <v>529</v>
      </c>
      <c r="C145" s="237"/>
      <c r="D145" s="237"/>
      <c r="E145" s="113">
        <f>+E138/E142</f>
        <v>0.02</v>
      </c>
      <c r="F145" s="241" t="s">
        <v>518</v>
      </c>
      <c r="G145" s="237"/>
    </row>
  </sheetData>
  <sheetProtection algorithmName="SHA-512" hashValue="k/rXy9uWnLB6JeZtGXr6AiwyyI1J5jsFK76/fxF74WYzTyXPa89gTWNndGaCePK/icAG+axLjPIape698zfS6w==" saltValue="atAlaYgAG+U94b9b2+WQc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9AED7-993D-4C80-B84F-B416B4885B33}">
  <sheetPr>
    <tabColor rgb="FFFF0000"/>
    <pageSetUpPr fitToPage="1"/>
  </sheetPr>
  <dimension ref="A1:H312"/>
  <sheetViews>
    <sheetView view="pageBreakPreview" topLeftCell="A43" zoomScaleNormal="100" zoomScaleSheetLayoutView="100" workbookViewId="0">
      <selection activeCell="A234" sqref="A234:XFD234"/>
    </sheetView>
  </sheetViews>
  <sheetFormatPr defaultColWidth="9.28515625" defaultRowHeight="12.75"/>
  <cols>
    <col min="1" max="1" width="12.28515625" style="53" customWidth="1"/>
    <col min="2" max="2" width="64.42578125" style="53" bestFit="1" customWidth="1"/>
    <col min="3" max="3" width="17.7109375" style="53" customWidth="1"/>
    <col min="4" max="4" width="15.7109375" style="53" customWidth="1"/>
    <col min="5" max="5" width="69.7109375" style="53" bestFit="1" customWidth="1"/>
    <col min="6" max="6" width="22.5703125" style="53" bestFit="1" customWidth="1"/>
    <col min="7" max="7" width="25.42578125" style="53" bestFit="1" customWidth="1"/>
    <col min="8" max="8" width="21.5703125" style="53" bestFit="1" customWidth="1"/>
    <col min="9" max="16384" width="9.28515625" style="53"/>
  </cols>
  <sheetData>
    <row r="1" spans="1:8" ht="18">
      <c r="A1" s="125" t="s">
        <v>391</v>
      </c>
    </row>
    <row r="2" spans="1:8" ht="15.75">
      <c r="A2" s="124" t="s">
        <v>392</v>
      </c>
    </row>
    <row r="3" spans="1:8" ht="15.75">
      <c r="A3" s="124"/>
    </row>
    <row r="5" spans="1:8" ht="3.75" customHeight="1"/>
    <row r="6" spans="1:8" ht="38.25">
      <c r="A6" s="139" t="s">
        <v>0</v>
      </c>
      <c r="B6" s="140" t="s">
        <v>1</v>
      </c>
      <c r="C6" s="139" t="s">
        <v>436</v>
      </c>
      <c r="D6" s="139" t="s">
        <v>2</v>
      </c>
    </row>
    <row r="7" spans="1:8">
      <c r="A7" s="141"/>
      <c r="B7" s="142"/>
      <c r="C7" s="141" t="s">
        <v>3</v>
      </c>
      <c r="D7" s="142" t="s">
        <v>4</v>
      </c>
    </row>
    <row r="8" spans="1:8">
      <c r="A8" s="141"/>
      <c r="B8" s="142"/>
      <c r="C8" s="141"/>
      <c r="D8" s="142"/>
    </row>
    <row r="9" spans="1:8">
      <c r="A9" s="143">
        <v>1341</v>
      </c>
      <c r="B9" s="144" t="s">
        <v>5</v>
      </c>
      <c r="C9" s="78">
        <v>23299691</v>
      </c>
      <c r="D9" s="66">
        <v>0.24123510000000001</v>
      </c>
      <c r="E9" s="32"/>
      <c r="F9" s="31"/>
      <c r="G9" s="146"/>
      <c r="H9" s="25"/>
    </row>
    <row r="10" spans="1:8">
      <c r="A10" s="147">
        <v>2308</v>
      </c>
      <c r="B10" s="148" t="s">
        <v>6</v>
      </c>
      <c r="C10" s="54">
        <v>36334</v>
      </c>
      <c r="D10" s="56">
        <v>3.7619999999999998E-4</v>
      </c>
      <c r="E10" s="32"/>
      <c r="F10" s="31"/>
      <c r="G10" s="146"/>
      <c r="H10" s="25"/>
    </row>
    <row r="11" spans="1:8">
      <c r="A11" s="143">
        <v>2340</v>
      </c>
      <c r="B11" s="149" t="s">
        <v>7</v>
      </c>
      <c r="C11" s="55">
        <v>39094</v>
      </c>
      <c r="D11" s="57">
        <v>4.0479999999999997E-4</v>
      </c>
      <c r="E11" s="32"/>
      <c r="F11" s="31"/>
      <c r="G11" s="146"/>
      <c r="H11" s="25"/>
    </row>
    <row r="12" spans="1:8">
      <c r="A12" s="147">
        <v>1301</v>
      </c>
      <c r="B12" s="148" t="s">
        <v>8</v>
      </c>
      <c r="C12" s="54">
        <v>46164</v>
      </c>
      <c r="D12" s="56">
        <v>4.7800000000000002E-4</v>
      </c>
      <c r="E12" s="32"/>
      <c r="F12" s="31"/>
      <c r="G12" s="146"/>
      <c r="H12" s="25"/>
    </row>
    <row r="13" spans="1:8">
      <c r="A13" s="143">
        <v>2390</v>
      </c>
      <c r="B13" s="149" t="s">
        <v>9</v>
      </c>
      <c r="C13" s="55">
        <v>31243</v>
      </c>
      <c r="D13" s="57">
        <v>3.235E-4</v>
      </c>
      <c r="E13" s="32"/>
      <c r="F13" s="31"/>
      <c r="G13" s="146"/>
      <c r="H13" s="25"/>
    </row>
    <row r="14" spans="1:8">
      <c r="A14" s="147">
        <v>2441</v>
      </c>
      <c r="B14" s="148" t="s">
        <v>437</v>
      </c>
      <c r="C14" s="54">
        <v>7814</v>
      </c>
      <c r="D14" s="56">
        <v>8.0900000000000001E-5</v>
      </c>
      <c r="E14" s="32"/>
      <c r="F14" s="31"/>
      <c r="G14" s="146"/>
      <c r="H14" s="25"/>
    </row>
    <row r="15" spans="1:8">
      <c r="A15" s="143">
        <v>15046</v>
      </c>
      <c r="B15" s="149" t="s">
        <v>10</v>
      </c>
      <c r="C15" s="55">
        <v>678882</v>
      </c>
      <c r="D15" s="57">
        <v>7.0288E-3</v>
      </c>
      <c r="E15" s="32"/>
      <c r="F15" s="31"/>
      <c r="G15" s="146"/>
      <c r="H15" s="25"/>
    </row>
    <row r="16" spans="1:8">
      <c r="A16" s="147">
        <v>4380</v>
      </c>
      <c r="B16" s="148" t="s">
        <v>11</v>
      </c>
      <c r="C16" s="54">
        <v>699966</v>
      </c>
      <c r="D16" s="56">
        <v>7.2471000000000002E-3</v>
      </c>
      <c r="E16" s="32"/>
      <c r="F16" s="31"/>
      <c r="G16" s="146"/>
      <c r="H16" s="25"/>
    </row>
    <row r="17" spans="1:8">
      <c r="A17" s="143">
        <v>2343</v>
      </c>
      <c r="B17" s="149" t="s">
        <v>438</v>
      </c>
      <c r="C17" s="55">
        <v>45118</v>
      </c>
      <c r="D17" s="57">
        <v>4.6710000000000002E-4</v>
      </c>
      <c r="E17" s="32"/>
      <c r="F17" s="31"/>
      <c r="G17" s="146"/>
      <c r="H17" s="25"/>
    </row>
    <row r="18" spans="1:8">
      <c r="A18" s="147">
        <v>2435</v>
      </c>
      <c r="B18" s="148" t="s">
        <v>408</v>
      </c>
      <c r="C18" s="54">
        <v>13759</v>
      </c>
      <c r="D18" s="56">
        <v>1.4249999999999999E-4</v>
      </c>
      <c r="E18" s="32"/>
      <c r="F18" s="31"/>
      <c r="G18" s="146"/>
      <c r="H18" s="25"/>
    </row>
    <row r="19" spans="1:8">
      <c r="A19" s="143">
        <v>4560</v>
      </c>
      <c r="B19" s="149" t="s">
        <v>12</v>
      </c>
      <c r="C19" s="55">
        <v>60924</v>
      </c>
      <c r="D19" s="57">
        <v>6.3080000000000005E-4</v>
      </c>
      <c r="E19" s="32"/>
      <c r="F19" s="31"/>
      <c r="G19" s="146"/>
      <c r="H19" s="25"/>
    </row>
    <row r="20" spans="1:8">
      <c r="A20" s="147">
        <v>2341</v>
      </c>
      <c r="B20" s="148" t="s">
        <v>434</v>
      </c>
      <c r="C20" s="54">
        <v>35773</v>
      </c>
      <c r="D20" s="56">
        <v>3.704E-4</v>
      </c>
      <c r="E20" s="32"/>
      <c r="F20" s="31"/>
      <c r="G20" s="146"/>
      <c r="H20" s="25"/>
    </row>
    <row r="21" spans="1:8">
      <c r="A21" s="143">
        <v>4580</v>
      </c>
      <c r="B21" s="149" t="s">
        <v>409</v>
      </c>
      <c r="C21" s="55">
        <v>29997</v>
      </c>
      <c r="D21" s="57">
        <v>3.1060000000000001E-4</v>
      </c>
      <c r="E21" s="32"/>
      <c r="F21" s="31"/>
      <c r="G21" s="146"/>
      <c r="H21" s="25"/>
    </row>
    <row r="22" spans="1:8">
      <c r="A22" s="147">
        <v>2003</v>
      </c>
      <c r="B22" s="148" t="s">
        <v>13</v>
      </c>
      <c r="C22" s="54">
        <v>10930498</v>
      </c>
      <c r="D22" s="56">
        <v>0.1131696</v>
      </c>
      <c r="E22" s="32"/>
      <c r="F22" s="31"/>
      <c r="G22" s="146"/>
      <c r="H22" s="25"/>
    </row>
    <row r="23" spans="1:8">
      <c r="A23" s="143">
        <v>2412</v>
      </c>
      <c r="B23" s="149" t="s">
        <v>14</v>
      </c>
      <c r="C23" s="55">
        <v>86415</v>
      </c>
      <c r="D23" s="57">
        <v>8.9470000000000001E-4</v>
      </c>
      <c r="E23" s="32"/>
      <c r="F23" s="31"/>
      <c r="G23" s="146"/>
      <c r="H23" s="25"/>
    </row>
    <row r="24" spans="1:8">
      <c r="A24" s="147">
        <v>2402</v>
      </c>
      <c r="B24" s="148" t="s">
        <v>15</v>
      </c>
      <c r="C24" s="54">
        <v>30918</v>
      </c>
      <c r="D24" s="56">
        <v>3.2009999999999997E-4</v>
      </c>
      <c r="E24" s="32"/>
      <c r="F24" s="31"/>
      <c r="G24" s="146"/>
      <c r="H24" s="25"/>
    </row>
    <row r="25" spans="1:8">
      <c r="A25" s="143">
        <v>2361</v>
      </c>
      <c r="B25" s="149" t="s">
        <v>16</v>
      </c>
      <c r="C25" s="55">
        <v>19881</v>
      </c>
      <c r="D25" s="57">
        <v>2.0579999999999999E-4</v>
      </c>
      <c r="E25" s="32"/>
      <c r="F25" s="31"/>
      <c r="G25" s="146"/>
      <c r="H25" s="25"/>
    </row>
    <row r="26" spans="1:8">
      <c r="A26" s="147">
        <v>8347</v>
      </c>
      <c r="B26" s="148" t="s">
        <v>17</v>
      </c>
      <c r="C26" s="54">
        <v>28941</v>
      </c>
      <c r="D26" s="56">
        <v>2.9960000000000002E-4</v>
      </c>
      <c r="E26" s="32"/>
      <c r="F26" s="31"/>
      <c r="G26" s="146"/>
      <c r="H26" s="25"/>
    </row>
    <row r="27" spans="1:8">
      <c r="A27" s="143">
        <v>2356</v>
      </c>
      <c r="B27" s="149" t="s">
        <v>18</v>
      </c>
      <c r="C27" s="55">
        <v>55057</v>
      </c>
      <c r="D27" s="57">
        <v>5.6999999999999998E-4</v>
      </c>
      <c r="E27" s="32"/>
      <c r="F27" s="31"/>
      <c r="G27" s="146"/>
      <c r="H27" s="25"/>
    </row>
    <row r="28" spans="1:8">
      <c r="A28" s="147">
        <v>7335</v>
      </c>
      <c r="B28" s="148" t="s">
        <v>19</v>
      </c>
      <c r="C28" s="54">
        <v>20789</v>
      </c>
      <c r="D28" s="56">
        <v>2.152E-4</v>
      </c>
      <c r="E28" s="32"/>
      <c r="F28" s="31"/>
      <c r="G28" s="146"/>
      <c r="H28" s="25"/>
    </row>
    <row r="29" spans="1:8">
      <c r="A29" s="143">
        <v>575</v>
      </c>
      <c r="B29" s="149" t="s">
        <v>410</v>
      </c>
      <c r="C29" s="55">
        <v>16997</v>
      </c>
      <c r="D29" s="57">
        <v>1.76E-4</v>
      </c>
      <c r="E29" s="32"/>
      <c r="F29" s="31"/>
      <c r="G29" s="146"/>
      <c r="H29" s="25"/>
    </row>
    <row r="30" spans="1:8">
      <c r="A30" s="147">
        <v>2303</v>
      </c>
      <c r="B30" s="148" t="s">
        <v>20</v>
      </c>
      <c r="C30" s="54">
        <v>42780</v>
      </c>
      <c r="D30" s="56">
        <v>4.4289999999999998E-4</v>
      </c>
      <c r="E30" s="32"/>
      <c r="F30" s="31"/>
      <c r="G30" s="146"/>
      <c r="H30" s="25"/>
    </row>
    <row r="31" spans="1:8">
      <c r="A31" s="143">
        <v>20316</v>
      </c>
      <c r="B31" s="149" t="s">
        <v>21</v>
      </c>
      <c r="C31" s="55">
        <v>22204</v>
      </c>
      <c r="D31" s="57">
        <v>2.299E-4</v>
      </c>
      <c r="E31" s="32"/>
      <c r="F31" s="31"/>
      <c r="G31" s="146"/>
      <c r="H31" s="25"/>
    </row>
    <row r="32" spans="1:8">
      <c r="A32" s="147">
        <v>23121</v>
      </c>
      <c r="B32" s="148" t="s">
        <v>22</v>
      </c>
      <c r="C32" s="54">
        <v>27064</v>
      </c>
      <c r="D32" s="56">
        <v>2.8019999999999998E-4</v>
      </c>
      <c r="E32" s="32"/>
      <c r="F32" s="31"/>
      <c r="G32" s="146"/>
      <c r="H32" s="25"/>
    </row>
    <row r="33" spans="1:8">
      <c r="A33" s="143">
        <v>3004</v>
      </c>
      <c r="B33" s="149" t="s">
        <v>23</v>
      </c>
      <c r="C33" s="55">
        <v>476812</v>
      </c>
      <c r="D33" s="57">
        <v>4.9366999999999996E-3</v>
      </c>
      <c r="E33" s="32"/>
      <c r="F33" s="31"/>
      <c r="G33" s="146"/>
      <c r="H33" s="25"/>
    </row>
    <row r="34" spans="1:8">
      <c r="A34" s="147">
        <v>16050</v>
      </c>
      <c r="B34" s="148" t="s">
        <v>24</v>
      </c>
      <c r="C34" s="54">
        <v>325424</v>
      </c>
      <c r="D34" s="56">
        <v>3.3693E-3</v>
      </c>
      <c r="E34" s="32"/>
      <c r="F34" s="31"/>
      <c r="G34" s="146"/>
      <c r="H34" s="25"/>
    </row>
    <row r="35" spans="1:8">
      <c r="A35" s="143">
        <v>14043</v>
      </c>
      <c r="B35" s="149" t="s">
        <v>25</v>
      </c>
      <c r="C35" s="55">
        <v>448683</v>
      </c>
      <c r="D35" s="57">
        <v>4.6455000000000003E-3</v>
      </c>
      <c r="E35" s="32"/>
      <c r="F35" s="31"/>
      <c r="G35" s="146"/>
      <c r="H35" s="25"/>
    </row>
    <row r="36" spans="1:8">
      <c r="A36" s="147">
        <v>3010</v>
      </c>
      <c r="B36" s="148" t="s">
        <v>26</v>
      </c>
      <c r="C36" s="54">
        <v>2812369</v>
      </c>
      <c r="D36" s="56">
        <v>2.9118000000000002E-2</v>
      </c>
      <c r="E36" s="32"/>
      <c r="F36" s="31"/>
      <c r="G36" s="146"/>
      <c r="H36" s="25"/>
    </row>
    <row r="37" spans="1:8">
      <c r="A37" s="143">
        <v>29086</v>
      </c>
      <c r="B37" s="149" t="s">
        <v>27</v>
      </c>
      <c r="C37" s="55">
        <v>420180</v>
      </c>
      <c r="D37" s="57">
        <v>4.3503999999999999E-3</v>
      </c>
      <c r="E37" s="32"/>
      <c r="F37" s="31"/>
      <c r="G37" s="146"/>
      <c r="H37" s="25"/>
    </row>
    <row r="38" spans="1:8">
      <c r="A38" s="147">
        <v>16051</v>
      </c>
      <c r="B38" s="148" t="s">
        <v>28</v>
      </c>
      <c r="C38" s="54">
        <v>365837</v>
      </c>
      <c r="D38" s="56">
        <v>3.7877000000000002E-3</v>
      </c>
      <c r="E38" s="32"/>
      <c r="F38" s="31"/>
      <c r="G38" s="146"/>
      <c r="H38" s="25"/>
    </row>
    <row r="39" spans="1:8">
      <c r="A39" s="143">
        <v>26077</v>
      </c>
      <c r="B39" s="149" t="s">
        <v>29</v>
      </c>
      <c r="C39" s="55">
        <v>68570</v>
      </c>
      <c r="D39" s="57">
        <v>7.0989999999999996E-4</v>
      </c>
      <c r="E39" s="32"/>
      <c r="F39" s="31"/>
      <c r="G39" s="146"/>
      <c r="H39" s="25"/>
    </row>
    <row r="40" spans="1:8">
      <c r="A40" s="147">
        <v>3005</v>
      </c>
      <c r="B40" s="148" t="s">
        <v>30</v>
      </c>
      <c r="C40" s="54">
        <v>799952</v>
      </c>
      <c r="D40" s="56">
        <v>8.2824000000000005E-3</v>
      </c>
      <c r="E40" s="32"/>
      <c r="F40" s="31"/>
      <c r="G40" s="146"/>
      <c r="H40" s="25"/>
    </row>
    <row r="41" spans="1:8">
      <c r="A41" s="143">
        <v>26078</v>
      </c>
      <c r="B41" s="149" t="s">
        <v>31</v>
      </c>
      <c r="C41" s="55">
        <v>29793</v>
      </c>
      <c r="D41" s="57">
        <v>3.0850000000000002E-4</v>
      </c>
      <c r="E41" s="32"/>
      <c r="F41" s="31"/>
      <c r="G41" s="146"/>
      <c r="H41" s="25"/>
    </row>
    <row r="42" spans="1:8">
      <c r="A42" s="147">
        <v>16053</v>
      </c>
      <c r="B42" s="148" t="s">
        <v>32</v>
      </c>
      <c r="C42" s="54">
        <v>893309</v>
      </c>
      <c r="D42" s="56">
        <v>9.2488999999999991E-3</v>
      </c>
      <c r="E42" s="32"/>
      <c r="F42" s="31"/>
      <c r="G42" s="146"/>
      <c r="H42" s="25"/>
    </row>
    <row r="43" spans="1:8">
      <c r="A43" s="143">
        <v>2123</v>
      </c>
      <c r="B43" s="149" t="s">
        <v>33</v>
      </c>
      <c r="C43" s="55">
        <v>1604019</v>
      </c>
      <c r="D43" s="57">
        <v>1.6607299999999998E-2</v>
      </c>
      <c r="E43" s="32"/>
      <c r="F43" s="31"/>
      <c r="G43" s="146"/>
      <c r="H43" s="25"/>
    </row>
    <row r="44" spans="1:8">
      <c r="A44" s="147">
        <v>2150</v>
      </c>
      <c r="B44" s="148" t="s">
        <v>34</v>
      </c>
      <c r="C44" s="54">
        <v>77571</v>
      </c>
      <c r="D44" s="56">
        <v>8.0309999999999995E-4</v>
      </c>
      <c r="E44" s="32"/>
      <c r="F44" s="31"/>
      <c r="G44" s="146"/>
      <c r="H44" s="25"/>
    </row>
    <row r="45" spans="1:8">
      <c r="A45" s="143">
        <v>2336</v>
      </c>
      <c r="B45" s="149" t="s">
        <v>35</v>
      </c>
      <c r="C45" s="55">
        <v>22852</v>
      </c>
      <c r="D45" s="57">
        <v>2.366E-4</v>
      </c>
      <c r="E45" s="32"/>
      <c r="F45" s="31"/>
      <c r="G45" s="146"/>
      <c r="H45" s="25"/>
    </row>
    <row r="46" spans="1:8">
      <c r="A46" s="147">
        <v>17126</v>
      </c>
      <c r="B46" s="148" t="s">
        <v>36</v>
      </c>
      <c r="C46" s="54">
        <v>65510</v>
      </c>
      <c r="D46" s="56">
        <v>6.7829999999999995E-4</v>
      </c>
      <c r="E46" s="32"/>
      <c r="F46" s="31"/>
      <c r="G46" s="146"/>
      <c r="H46" s="25"/>
    </row>
    <row r="47" spans="1:8">
      <c r="A47" s="143">
        <v>3030</v>
      </c>
      <c r="B47" s="149" t="s">
        <v>37</v>
      </c>
      <c r="C47" s="55">
        <v>205289</v>
      </c>
      <c r="D47" s="57">
        <v>2.1254999999999998E-3</v>
      </c>
      <c r="E47" s="32"/>
      <c r="F47" s="31"/>
      <c r="G47" s="146"/>
      <c r="H47" s="25"/>
    </row>
    <row r="48" spans="1:8">
      <c r="A48" s="147">
        <v>2353</v>
      </c>
      <c r="B48" s="148" t="s">
        <v>38</v>
      </c>
      <c r="C48" s="54">
        <v>40702</v>
      </c>
      <c r="D48" s="56">
        <v>4.214E-4</v>
      </c>
      <c r="E48" s="32"/>
      <c r="F48" s="31"/>
      <c r="G48" s="146"/>
      <c r="H48" s="25"/>
    </row>
    <row r="49" spans="1:8">
      <c r="A49" s="143">
        <v>3040</v>
      </c>
      <c r="B49" s="149" t="s">
        <v>39</v>
      </c>
      <c r="C49" s="55">
        <v>72107</v>
      </c>
      <c r="D49" s="57">
        <v>7.4660000000000004E-4</v>
      </c>
      <c r="E49" s="32"/>
      <c r="F49" s="31"/>
      <c r="G49" s="146"/>
      <c r="H49" s="25"/>
    </row>
    <row r="50" spans="1:8">
      <c r="A50" s="147">
        <v>2367</v>
      </c>
      <c r="B50" s="148" t="s">
        <v>40</v>
      </c>
      <c r="C50" s="54">
        <v>48952</v>
      </c>
      <c r="D50" s="56">
        <v>5.0679999999999996E-4</v>
      </c>
      <c r="E50" s="32"/>
      <c r="F50" s="31"/>
      <c r="G50" s="146"/>
      <c r="H50" s="25"/>
    </row>
    <row r="51" spans="1:8">
      <c r="A51" s="143">
        <v>9027</v>
      </c>
      <c r="B51" s="149" t="s">
        <v>41</v>
      </c>
      <c r="C51" s="55">
        <v>71725</v>
      </c>
      <c r="D51" s="57">
        <v>7.4260000000000005E-4</v>
      </c>
      <c r="E51" s="32"/>
      <c r="F51" s="31"/>
      <c r="G51" s="146"/>
      <c r="H51" s="25"/>
    </row>
    <row r="52" spans="1:8">
      <c r="A52" s="147">
        <v>2010</v>
      </c>
      <c r="B52" s="148" t="s">
        <v>42</v>
      </c>
      <c r="C52" s="54">
        <v>258621</v>
      </c>
      <c r="D52" s="56">
        <v>2.6776E-3</v>
      </c>
      <c r="E52" s="32"/>
      <c r="F52" s="31"/>
      <c r="G52" s="146"/>
      <c r="H52" s="25"/>
    </row>
    <row r="53" spans="1:8">
      <c r="A53" s="143">
        <v>2020</v>
      </c>
      <c r="B53" s="149" t="s">
        <v>43</v>
      </c>
      <c r="C53" s="55">
        <v>6688271</v>
      </c>
      <c r="D53" s="57">
        <v>6.9247400000000001E-2</v>
      </c>
      <c r="E53" s="32"/>
      <c r="F53" s="31"/>
      <c r="G53" s="146"/>
      <c r="H53" s="25"/>
    </row>
    <row r="54" spans="1:8">
      <c r="A54" s="147">
        <v>2040</v>
      </c>
      <c r="B54" s="148" t="s">
        <v>44</v>
      </c>
      <c r="C54" s="54">
        <v>85486</v>
      </c>
      <c r="D54" s="56">
        <v>8.8509999999999999E-4</v>
      </c>
      <c r="E54" s="32"/>
      <c r="F54" s="31"/>
      <c r="G54" s="146"/>
      <c r="H54" s="25"/>
    </row>
    <row r="55" spans="1:8">
      <c r="A55" s="143">
        <v>2060</v>
      </c>
      <c r="B55" s="149" t="s">
        <v>45</v>
      </c>
      <c r="C55" s="55">
        <v>90732</v>
      </c>
      <c r="D55" s="57">
        <v>9.3939999999999996E-4</v>
      </c>
      <c r="E55" s="32"/>
      <c r="F55" s="31"/>
      <c r="G55" s="146"/>
      <c r="H55" s="25"/>
    </row>
    <row r="56" spans="1:8">
      <c r="A56" s="147">
        <v>2090</v>
      </c>
      <c r="B56" s="148" t="s">
        <v>46</v>
      </c>
      <c r="C56" s="54">
        <v>70068</v>
      </c>
      <c r="D56" s="56">
        <v>7.2550000000000002E-4</v>
      </c>
      <c r="E56" s="32"/>
      <c r="F56" s="31"/>
      <c r="G56" s="146"/>
      <c r="H56" s="25"/>
    </row>
    <row r="57" spans="1:8">
      <c r="A57" s="143">
        <v>2110</v>
      </c>
      <c r="B57" s="144" t="s">
        <v>47</v>
      </c>
      <c r="C57" s="107">
        <v>596987</v>
      </c>
      <c r="D57" s="66">
        <v>6.1808999999999996E-3</v>
      </c>
      <c r="E57" s="32"/>
      <c r="F57" s="31"/>
      <c r="G57" s="146"/>
      <c r="H57" s="25"/>
    </row>
    <row r="58" spans="1:8">
      <c r="A58" s="147">
        <v>2180</v>
      </c>
      <c r="B58" s="148" t="s">
        <v>48</v>
      </c>
      <c r="C58" s="54">
        <v>277689</v>
      </c>
      <c r="D58" s="56">
        <v>2.8750999999999998E-3</v>
      </c>
      <c r="E58" s="32"/>
      <c r="F58" s="31"/>
      <c r="G58" s="146"/>
      <c r="H58" s="25"/>
    </row>
    <row r="59" spans="1:8">
      <c r="A59" s="143">
        <v>2210</v>
      </c>
      <c r="B59" s="149" t="s">
        <v>49</v>
      </c>
      <c r="C59" s="55">
        <v>132101</v>
      </c>
      <c r="D59" s="57">
        <v>1.3676999999999999E-3</v>
      </c>
      <c r="E59" s="32"/>
      <c r="F59" s="31"/>
      <c r="G59" s="146"/>
      <c r="H59" s="25"/>
    </row>
    <row r="60" spans="1:8">
      <c r="A60" s="147">
        <v>2290</v>
      </c>
      <c r="B60" s="148" t="s">
        <v>50</v>
      </c>
      <c r="C60" s="54">
        <v>129820</v>
      </c>
      <c r="D60" s="56">
        <v>1.3441E-3</v>
      </c>
      <c r="E60" s="32"/>
      <c r="F60" s="31"/>
      <c r="G60" s="146"/>
      <c r="H60" s="25"/>
    </row>
    <row r="61" spans="1:8">
      <c r="A61" s="143">
        <v>2310</v>
      </c>
      <c r="B61" s="149" t="s">
        <v>51</v>
      </c>
      <c r="C61" s="55">
        <v>911565</v>
      </c>
      <c r="D61" s="57">
        <v>9.4379000000000008E-3</v>
      </c>
      <c r="E61" s="32"/>
      <c r="F61" s="31"/>
      <c r="G61" s="146"/>
      <c r="H61" s="25"/>
    </row>
    <row r="62" spans="1:8">
      <c r="A62" s="147">
        <v>2330</v>
      </c>
      <c r="B62" s="148" t="s">
        <v>52</v>
      </c>
      <c r="C62" s="54">
        <v>306200</v>
      </c>
      <c r="D62" s="56">
        <v>3.1703E-3</v>
      </c>
      <c r="E62" s="32"/>
      <c r="F62" s="31"/>
      <c r="G62" s="146"/>
      <c r="H62" s="25"/>
    </row>
    <row r="63" spans="1:8">
      <c r="A63" s="143">
        <v>2380</v>
      </c>
      <c r="B63" s="149" t="s">
        <v>53</v>
      </c>
      <c r="C63" s="55">
        <v>44896</v>
      </c>
      <c r="D63" s="57">
        <v>4.6480000000000002E-4</v>
      </c>
      <c r="E63" s="32"/>
      <c r="F63" s="31"/>
      <c r="G63" s="146"/>
      <c r="H63" s="25"/>
    </row>
    <row r="64" spans="1:8">
      <c r="A64" s="147">
        <v>2400</v>
      </c>
      <c r="B64" s="148" t="s">
        <v>54</v>
      </c>
      <c r="C64" s="54">
        <v>1555097</v>
      </c>
      <c r="D64" s="56">
        <v>1.6100799999999998E-2</v>
      </c>
      <c r="E64" s="32"/>
      <c r="F64" s="31"/>
      <c r="G64" s="146"/>
      <c r="H64" s="25"/>
    </row>
    <row r="65" spans="1:8">
      <c r="A65" s="143">
        <v>2410</v>
      </c>
      <c r="B65" s="149" t="s">
        <v>55</v>
      </c>
      <c r="C65" s="55">
        <v>189598</v>
      </c>
      <c r="D65" s="57">
        <v>1.9629999999999999E-3</v>
      </c>
      <c r="E65" s="32"/>
      <c r="F65" s="31"/>
      <c r="G65" s="146"/>
      <c r="H65" s="25"/>
    </row>
    <row r="66" spans="1:8">
      <c r="A66" s="147">
        <v>2500</v>
      </c>
      <c r="B66" s="148" t="s">
        <v>56</v>
      </c>
      <c r="C66" s="54">
        <v>27556</v>
      </c>
      <c r="D66" s="56">
        <v>2.853E-4</v>
      </c>
      <c r="E66" s="32"/>
      <c r="F66" s="31"/>
      <c r="G66" s="146"/>
      <c r="H66" s="25"/>
    </row>
    <row r="67" spans="1:8">
      <c r="A67" s="143">
        <v>2550</v>
      </c>
      <c r="B67" s="149" t="s">
        <v>57</v>
      </c>
      <c r="C67" s="55">
        <v>114042</v>
      </c>
      <c r="D67" s="57">
        <v>1.1807E-3</v>
      </c>
      <c r="E67" s="32"/>
      <c r="F67" s="31"/>
      <c r="G67" s="146"/>
      <c r="H67" s="25"/>
    </row>
    <row r="68" spans="1:8">
      <c r="A68" s="147">
        <v>2570</v>
      </c>
      <c r="B68" s="148" t="s">
        <v>58</v>
      </c>
      <c r="C68" s="54">
        <v>72990</v>
      </c>
      <c r="D68" s="56">
        <v>7.5569999999999999E-4</v>
      </c>
      <c r="E68" s="32"/>
      <c r="F68" s="31"/>
      <c r="G68" s="146"/>
      <c r="H68" s="25"/>
    </row>
    <row r="69" spans="1:8">
      <c r="A69" s="143">
        <v>2620</v>
      </c>
      <c r="B69" s="149" t="s">
        <v>59</v>
      </c>
      <c r="C69" s="55">
        <v>684377</v>
      </c>
      <c r="D69" s="57">
        <v>7.0857000000000003E-3</v>
      </c>
      <c r="E69" s="32"/>
      <c r="F69" s="31"/>
      <c r="G69" s="146"/>
      <c r="H69" s="25"/>
    </row>
    <row r="70" spans="1:8">
      <c r="A70" s="147">
        <v>2630</v>
      </c>
      <c r="B70" s="148" t="s">
        <v>60</v>
      </c>
      <c r="C70" s="54">
        <v>526608</v>
      </c>
      <c r="D70" s="56">
        <v>5.4523000000000002E-3</v>
      </c>
      <c r="E70" s="32"/>
      <c r="F70" s="31"/>
      <c r="G70" s="146"/>
      <c r="H70" s="25"/>
    </row>
    <row r="71" spans="1:8">
      <c r="A71" s="143">
        <v>2690</v>
      </c>
      <c r="B71" s="149" t="s">
        <v>61</v>
      </c>
      <c r="C71" s="55">
        <v>1317162</v>
      </c>
      <c r="D71" s="57">
        <v>1.36373E-2</v>
      </c>
      <c r="E71" s="32"/>
      <c r="F71" s="31"/>
      <c r="G71" s="146"/>
      <c r="H71" s="25"/>
    </row>
    <row r="72" spans="1:8">
      <c r="A72" s="147">
        <v>2710</v>
      </c>
      <c r="B72" s="148" t="s">
        <v>62</v>
      </c>
      <c r="C72" s="54">
        <v>23597</v>
      </c>
      <c r="D72" s="56">
        <v>2.4429999999999998E-4</v>
      </c>
      <c r="E72" s="32"/>
      <c r="F72" s="31"/>
      <c r="G72" s="146"/>
      <c r="H72" s="25"/>
    </row>
    <row r="73" spans="1:8">
      <c r="A73" s="143">
        <v>2730</v>
      </c>
      <c r="B73" s="149" t="s">
        <v>63</v>
      </c>
      <c r="C73" s="108">
        <v>97152</v>
      </c>
      <c r="D73" s="57">
        <v>1.0058999999999999E-3</v>
      </c>
      <c r="E73" s="32"/>
      <c r="F73" s="31"/>
      <c r="G73" s="146"/>
      <c r="H73" s="25"/>
    </row>
    <row r="74" spans="1:8">
      <c r="A74" s="147">
        <v>2950</v>
      </c>
      <c r="B74" s="148" t="s">
        <v>64</v>
      </c>
      <c r="C74" s="54">
        <v>82285</v>
      </c>
      <c r="D74" s="56">
        <v>8.5190000000000005E-4</v>
      </c>
      <c r="E74" s="32"/>
      <c r="F74" s="31"/>
      <c r="G74" s="146"/>
      <c r="H74" s="25"/>
    </row>
    <row r="75" spans="1:8">
      <c r="A75" s="143">
        <v>2760</v>
      </c>
      <c r="B75" s="149" t="s">
        <v>65</v>
      </c>
      <c r="C75" s="55">
        <v>78238</v>
      </c>
      <c r="D75" s="57">
        <v>8.0999999999999996E-4</v>
      </c>
      <c r="E75" s="32"/>
      <c r="F75" s="31"/>
      <c r="G75" s="146"/>
      <c r="H75" s="25"/>
    </row>
    <row r="76" spans="1:8">
      <c r="A76" s="147">
        <v>2780</v>
      </c>
      <c r="B76" s="148" t="s">
        <v>66</v>
      </c>
      <c r="C76" s="54">
        <v>7017</v>
      </c>
      <c r="D76" s="56">
        <v>7.2700000000000005E-5</v>
      </c>
      <c r="E76" s="32"/>
      <c r="F76" s="31"/>
      <c r="G76" s="146"/>
      <c r="H76" s="25"/>
    </row>
    <row r="77" spans="1:8">
      <c r="A77" s="143">
        <v>2810</v>
      </c>
      <c r="B77" s="149" t="s">
        <v>67</v>
      </c>
      <c r="C77" s="55">
        <v>55024</v>
      </c>
      <c r="D77" s="57">
        <v>5.6970000000000002E-4</v>
      </c>
      <c r="E77" s="32"/>
      <c r="F77" s="31"/>
      <c r="G77" s="146"/>
      <c r="H77" s="25"/>
    </row>
    <row r="78" spans="1:8">
      <c r="A78" s="147">
        <v>18056</v>
      </c>
      <c r="B78" s="148" t="s">
        <v>68</v>
      </c>
      <c r="C78" s="54">
        <v>65307</v>
      </c>
      <c r="D78" s="56">
        <v>6.7619999999999996E-4</v>
      </c>
      <c r="E78" s="32"/>
      <c r="F78" s="31"/>
      <c r="G78" s="146"/>
      <c r="H78" s="25"/>
    </row>
    <row r="79" spans="1:8">
      <c r="A79" s="143">
        <v>15047</v>
      </c>
      <c r="B79" s="149" t="s">
        <v>69</v>
      </c>
      <c r="C79" s="55">
        <v>59525</v>
      </c>
      <c r="D79" s="57">
        <v>6.1629999999999996E-4</v>
      </c>
      <c r="E79" s="32"/>
      <c r="F79" s="31"/>
      <c r="G79" s="146"/>
      <c r="H79" s="25"/>
    </row>
    <row r="80" spans="1:8">
      <c r="A80" s="147">
        <v>5012</v>
      </c>
      <c r="B80" s="148" t="s">
        <v>70</v>
      </c>
      <c r="C80" s="54">
        <v>987282</v>
      </c>
      <c r="D80" s="56">
        <v>1.0221900000000001E-2</v>
      </c>
      <c r="E80" s="32"/>
      <c r="F80" s="31"/>
      <c r="G80" s="146"/>
      <c r="H80" s="25"/>
    </row>
    <row r="81" spans="1:8">
      <c r="A81" s="143">
        <v>8024</v>
      </c>
      <c r="B81" s="149" t="s">
        <v>71</v>
      </c>
      <c r="C81" s="55">
        <v>208908</v>
      </c>
      <c r="D81" s="57">
        <v>2.1629000000000002E-3</v>
      </c>
      <c r="E81" s="32"/>
      <c r="F81" s="31"/>
      <c r="G81" s="146"/>
      <c r="H81" s="25"/>
    </row>
    <row r="82" spans="1:8">
      <c r="A82" s="147">
        <v>3050</v>
      </c>
      <c r="B82" s="148" t="s">
        <v>72</v>
      </c>
      <c r="C82" s="54">
        <v>68560</v>
      </c>
      <c r="D82" s="56">
        <v>7.0980000000000001E-4</v>
      </c>
      <c r="E82" s="32"/>
      <c r="F82" s="31"/>
      <c r="G82" s="146"/>
      <c r="H82" s="25"/>
    </row>
    <row r="83" spans="1:8">
      <c r="A83" s="143">
        <v>2421</v>
      </c>
      <c r="B83" s="149" t="s">
        <v>73</v>
      </c>
      <c r="C83" s="55">
        <v>24709</v>
      </c>
      <c r="D83" s="57">
        <v>2.5579999999999998E-4</v>
      </c>
      <c r="E83" s="32"/>
      <c r="F83" s="31"/>
      <c r="G83" s="146"/>
      <c r="H83" s="25"/>
    </row>
    <row r="84" spans="1:8">
      <c r="A84" s="147">
        <v>26079</v>
      </c>
      <c r="B84" s="148" t="s">
        <v>74</v>
      </c>
      <c r="C84" s="54">
        <v>22036</v>
      </c>
      <c r="D84" s="56">
        <v>2.2819999999999999E-4</v>
      </c>
      <c r="E84" s="32"/>
      <c r="F84" s="31"/>
      <c r="G84" s="146"/>
      <c r="H84" s="25"/>
    </row>
    <row r="85" spans="1:8">
      <c r="A85" s="143">
        <v>2363</v>
      </c>
      <c r="B85" s="149" t="s">
        <v>75</v>
      </c>
      <c r="C85" s="55">
        <v>28717</v>
      </c>
      <c r="D85" s="57">
        <v>2.9730000000000002E-4</v>
      </c>
      <c r="E85" s="32"/>
      <c r="F85" s="31"/>
      <c r="G85" s="146"/>
      <c r="H85" s="25"/>
    </row>
    <row r="86" spans="1:8">
      <c r="A86" s="147">
        <v>2364</v>
      </c>
      <c r="B86" s="148" t="s">
        <v>76</v>
      </c>
      <c r="C86" s="54">
        <v>74335</v>
      </c>
      <c r="D86" s="56">
        <v>7.6959999999999995E-4</v>
      </c>
      <c r="E86" s="32"/>
      <c r="F86" s="31"/>
      <c r="G86" s="146"/>
      <c r="H86" s="25"/>
    </row>
    <row r="87" spans="1:8">
      <c r="A87" s="143">
        <v>25319</v>
      </c>
      <c r="B87" s="149" t="s">
        <v>77</v>
      </c>
      <c r="C87" s="55">
        <v>22584</v>
      </c>
      <c r="D87" s="57">
        <v>2.3379999999999999E-4</v>
      </c>
      <c r="E87" s="32"/>
      <c r="F87" s="31"/>
      <c r="G87" s="146"/>
      <c r="H87" s="25"/>
    </row>
    <row r="88" spans="1:8">
      <c r="A88" s="147">
        <v>29087</v>
      </c>
      <c r="B88" s="148" t="s">
        <v>78</v>
      </c>
      <c r="C88" s="54">
        <v>130822</v>
      </c>
      <c r="D88" s="56">
        <v>1.3545E-3</v>
      </c>
      <c r="E88" s="32"/>
      <c r="F88" s="31"/>
      <c r="G88" s="146"/>
      <c r="H88" s="25"/>
    </row>
    <row r="89" spans="1:8">
      <c r="A89" s="143">
        <v>3060</v>
      </c>
      <c r="B89" s="149" t="s">
        <v>79</v>
      </c>
      <c r="C89" s="55">
        <v>115450</v>
      </c>
      <c r="D89" s="57">
        <v>1.1953000000000001E-3</v>
      </c>
      <c r="E89" s="32"/>
      <c r="F89" s="31"/>
      <c r="G89" s="146"/>
      <c r="H89" s="25"/>
    </row>
    <row r="90" spans="1:8">
      <c r="A90" s="147">
        <v>19301</v>
      </c>
      <c r="B90" s="148" t="s">
        <v>80</v>
      </c>
      <c r="C90" s="54">
        <v>17264</v>
      </c>
      <c r="D90" s="56">
        <v>1.7870000000000001E-4</v>
      </c>
      <c r="E90" s="32"/>
      <c r="F90" s="31"/>
      <c r="G90" s="146"/>
      <c r="H90" s="25"/>
    </row>
    <row r="91" spans="1:8">
      <c r="A91" s="143">
        <v>19059</v>
      </c>
      <c r="B91" s="149" t="s">
        <v>81</v>
      </c>
      <c r="C91" s="55">
        <v>676512</v>
      </c>
      <c r="D91" s="57">
        <v>7.0042999999999998E-3</v>
      </c>
      <c r="E91" s="32"/>
      <c r="F91" s="31"/>
      <c r="G91" s="146"/>
      <c r="H91" s="25"/>
    </row>
    <row r="92" spans="1:8">
      <c r="A92" s="147">
        <v>18057</v>
      </c>
      <c r="B92" s="148" t="s">
        <v>82</v>
      </c>
      <c r="C92" s="54">
        <v>24782</v>
      </c>
      <c r="D92" s="56">
        <v>2.566E-4</v>
      </c>
      <c r="E92" s="32"/>
      <c r="F92" s="31"/>
      <c r="G92" s="146"/>
      <c r="H92" s="25"/>
    </row>
    <row r="93" spans="1:8">
      <c r="A93" s="143">
        <v>4008</v>
      </c>
      <c r="B93" s="149" t="s">
        <v>83</v>
      </c>
      <c r="C93" s="55">
        <v>112906</v>
      </c>
      <c r="D93" s="57">
        <v>1.1689999999999999E-3</v>
      </c>
      <c r="E93" s="32"/>
      <c r="F93" s="31"/>
      <c r="G93" s="146"/>
      <c r="H93" s="25"/>
    </row>
    <row r="94" spans="1:8">
      <c r="A94" s="147">
        <v>2350</v>
      </c>
      <c r="B94" s="148" t="s">
        <v>84</v>
      </c>
      <c r="C94" s="54">
        <v>37337</v>
      </c>
      <c r="D94" s="56">
        <v>3.8660000000000002E-4</v>
      </c>
      <c r="E94" s="32"/>
      <c r="F94" s="31"/>
      <c r="G94" s="146"/>
      <c r="H94" s="25"/>
    </row>
    <row r="95" spans="1:8">
      <c r="A95" s="143">
        <v>11117</v>
      </c>
      <c r="B95" s="149" t="s">
        <v>85</v>
      </c>
      <c r="C95" s="55">
        <v>41796</v>
      </c>
      <c r="D95" s="57">
        <v>4.327E-4</v>
      </c>
      <c r="E95" s="32"/>
      <c r="F95" s="31"/>
      <c r="G95" s="146"/>
      <c r="H95" s="25"/>
    </row>
    <row r="96" spans="1:8">
      <c r="A96" s="147">
        <v>16359</v>
      </c>
      <c r="B96" s="148" t="s">
        <v>86</v>
      </c>
      <c r="C96" s="54">
        <v>6732</v>
      </c>
      <c r="D96" s="56">
        <v>6.97E-5</v>
      </c>
      <c r="E96" s="32"/>
      <c r="F96" s="31"/>
      <c r="G96" s="146"/>
      <c r="H96" s="25"/>
    </row>
    <row r="97" spans="1:8">
      <c r="A97" s="143">
        <v>17115</v>
      </c>
      <c r="B97" s="149" t="s">
        <v>87</v>
      </c>
      <c r="C97" s="55">
        <v>116484</v>
      </c>
      <c r="D97" s="57">
        <v>1.206E-3</v>
      </c>
      <c r="E97" s="32"/>
      <c r="F97" s="31"/>
      <c r="G97" s="146"/>
      <c r="H97" s="25"/>
    </row>
    <row r="98" spans="1:8">
      <c r="A98" s="147">
        <v>32117</v>
      </c>
      <c r="B98" s="148" t="s">
        <v>88</v>
      </c>
      <c r="C98" s="54">
        <v>7672</v>
      </c>
      <c r="D98" s="56">
        <v>7.9400000000000006E-5</v>
      </c>
      <c r="E98" s="32"/>
      <c r="F98" s="31"/>
      <c r="G98" s="146"/>
      <c r="H98" s="25"/>
    </row>
    <row r="99" spans="1:8">
      <c r="A99" s="143">
        <v>2304</v>
      </c>
      <c r="B99" s="149" t="s">
        <v>89</v>
      </c>
      <c r="C99" s="55">
        <v>45123</v>
      </c>
      <c r="D99" s="57">
        <v>4.6720000000000003E-4</v>
      </c>
      <c r="E99" s="32"/>
      <c r="F99" s="31"/>
      <c r="G99" s="146"/>
      <c r="H99" s="25"/>
    </row>
    <row r="100" spans="1:8">
      <c r="A100" s="147">
        <v>11101</v>
      </c>
      <c r="B100" s="148" t="s">
        <v>91</v>
      </c>
      <c r="C100" s="54">
        <v>612611</v>
      </c>
      <c r="D100" s="56">
        <v>6.3426999999999997E-3</v>
      </c>
      <c r="E100" s="32"/>
      <c r="F100" s="31"/>
      <c r="G100" s="146"/>
      <c r="H100" s="25"/>
    </row>
    <row r="101" spans="1:8">
      <c r="A101" s="143">
        <v>11102</v>
      </c>
      <c r="B101" s="149" t="s">
        <v>90</v>
      </c>
      <c r="C101" s="55">
        <v>192228</v>
      </c>
      <c r="D101" s="57">
        <v>1.9902000000000001E-3</v>
      </c>
      <c r="E101" s="32"/>
      <c r="F101" s="31"/>
      <c r="G101" s="146"/>
      <c r="H101" s="25"/>
    </row>
    <row r="102" spans="1:8">
      <c r="A102" s="147">
        <v>3100</v>
      </c>
      <c r="B102" s="148" t="s">
        <v>92</v>
      </c>
      <c r="C102" s="54">
        <v>436619</v>
      </c>
      <c r="D102" s="56">
        <v>4.5205999999999996E-3</v>
      </c>
      <c r="E102" s="32"/>
      <c r="F102" s="31"/>
      <c r="G102" s="146"/>
      <c r="H102" s="25"/>
    </row>
    <row r="103" spans="1:8">
      <c r="A103" s="143">
        <v>2323</v>
      </c>
      <c r="B103" s="149" t="s">
        <v>93</v>
      </c>
      <c r="C103" s="55">
        <v>41652</v>
      </c>
      <c r="D103" s="57">
        <v>4.3120000000000002E-4</v>
      </c>
      <c r="E103" s="32"/>
      <c r="F103" s="31"/>
      <c r="G103" s="146"/>
      <c r="H103" s="25"/>
    </row>
    <row r="104" spans="1:8">
      <c r="A104" s="147">
        <v>11034</v>
      </c>
      <c r="B104" s="148" t="s">
        <v>94</v>
      </c>
      <c r="C104" s="54">
        <v>30297</v>
      </c>
      <c r="D104" s="56">
        <v>3.1369999999999998E-4</v>
      </c>
      <c r="E104" s="32"/>
      <c r="F104" s="31"/>
      <c r="G104" s="146"/>
      <c r="H104" s="25"/>
    </row>
    <row r="105" spans="1:8">
      <c r="A105" s="143">
        <v>17054</v>
      </c>
      <c r="B105" s="144" t="s">
        <v>95</v>
      </c>
      <c r="C105" s="107">
        <v>468643</v>
      </c>
      <c r="D105" s="66">
        <v>4.8520999999999998E-3</v>
      </c>
      <c r="E105" s="32"/>
      <c r="F105" s="31"/>
      <c r="G105" s="146"/>
      <c r="H105" s="25"/>
    </row>
    <row r="106" spans="1:8">
      <c r="A106" s="147">
        <v>22065</v>
      </c>
      <c r="B106" s="148" t="s">
        <v>96</v>
      </c>
      <c r="C106" s="54">
        <v>98016</v>
      </c>
      <c r="D106" s="56">
        <v>1.0147999999999999E-3</v>
      </c>
      <c r="E106" s="32"/>
      <c r="F106" s="31"/>
      <c r="G106" s="146"/>
      <c r="H106" s="25"/>
    </row>
    <row r="107" spans="1:8">
      <c r="A107" s="143">
        <v>22201</v>
      </c>
      <c r="B107" s="149" t="s">
        <v>97</v>
      </c>
      <c r="C107" s="55">
        <v>48685</v>
      </c>
      <c r="D107" s="57">
        <v>5.0409999999999995E-4</v>
      </c>
      <c r="E107" s="32"/>
      <c r="F107" s="31"/>
      <c r="G107" s="146"/>
      <c r="H107" s="25"/>
    </row>
    <row r="108" spans="1:8">
      <c r="A108" s="147">
        <v>6016</v>
      </c>
      <c r="B108" s="148" t="s">
        <v>98</v>
      </c>
      <c r="C108" s="54">
        <v>98819</v>
      </c>
      <c r="D108" s="56">
        <v>1.0231000000000001E-3</v>
      </c>
      <c r="E108" s="32"/>
      <c r="F108" s="31"/>
      <c r="G108" s="146"/>
      <c r="H108" s="25"/>
    </row>
    <row r="109" spans="1:8">
      <c r="A109" s="143">
        <v>2432</v>
      </c>
      <c r="B109" s="149" t="s">
        <v>99</v>
      </c>
      <c r="C109" s="55">
        <v>70448</v>
      </c>
      <c r="D109" s="57">
        <v>7.2939999999999995E-4</v>
      </c>
      <c r="E109" s="32"/>
      <c r="F109" s="31"/>
      <c r="G109" s="146"/>
      <c r="H109" s="25"/>
    </row>
    <row r="110" spans="1:8">
      <c r="A110" s="147">
        <v>16052</v>
      </c>
      <c r="B110" s="148" t="s">
        <v>100</v>
      </c>
      <c r="C110" s="54">
        <v>1301770</v>
      </c>
      <c r="D110" s="56">
        <v>1.3478E-2</v>
      </c>
      <c r="E110" s="32"/>
      <c r="F110" s="31"/>
      <c r="G110" s="146"/>
      <c r="H110" s="25"/>
    </row>
    <row r="111" spans="1:8">
      <c r="A111" s="143">
        <v>11118</v>
      </c>
      <c r="B111" s="149" t="s">
        <v>101</v>
      </c>
      <c r="C111" s="55">
        <v>33844</v>
      </c>
      <c r="D111" s="57">
        <v>3.5040000000000001E-4</v>
      </c>
      <c r="E111" s="32"/>
      <c r="F111" s="31"/>
      <c r="G111" s="146"/>
      <c r="H111" s="25"/>
    </row>
    <row r="112" spans="1:8">
      <c r="A112" s="147">
        <v>27083</v>
      </c>
      <c r="B112" s="148" t="s">
        <v>102</v>
      </c>
      <c r="C112" s="54">
        <v>53050</v>
      </c>
      <c r="D112" s="56">
        <v>5.4929999999999996E-4</v>
      </c>
      <c r="E112" s="32"/>
      <c r="F112" s="31"/>
      <c r="G112" s="146"/>
      <c r="H112" s="25"/>
    </row>
    <row r="113" spans="1:8">
      <c r="A113" s="143">
        <v>7021</v>
      </c>
      <c r="B113" s="149" t="s">
        <v>103</v>
      </c>
      <c r="C113" s="55">
        <v>1768415</v>
      </c>
      <c r="D113" s="57">
        <v>1.83094E-2</v>
      </c>
      <c r="E113" s="32"/>
      <c r="F113" s="31"/>
      <c r="G113" s="146"/>
      <c r="H113" s="25"/>
    </row>
    <row r="114" spans="1:8">
      <c r="A114" s="147">
        <v>4140</v>
      </c>
      <c r="B114" s="148" t="s">
        <v>104</v>
      </c>
      <c r="C114" s="54">
        <v>11523</v>
      </c>
      <c r="D114" s="56">
        <v>1.193E-4</v>
      </c>
      <c r="E114" s="32"/>
      <c r="F114" s="31"/>
      <c r="G114" s="146"/>
      <c r="H114" s="25"/>
    </row>
    <row r="115" spans="1:8">
      <c r="A115" s="143">
        <v>13041</v>
      </c>
      <c r="B115" s="149" t="s">
        <v>105</v>
      </c>
      <c r="C115" s="55">
        <v>1567941</v>
      </c>
      <c r="D115" s="57">
        <v>1.62338E-2</v>
      </c>
      <c r="E115" s="32"/>
      <c r="F115" s="31"/>
      <c r="G115" s="146"/>
      <c r="H115" s="25"/>
    </row>
    <row r="116" spans="1:8">
      <c r="A116" s="147">
        <v>2339</v>
      </c>
      <c r="B116" s="148" t="s">
        <v>106</v>
      </c>
      <c r="C116" s="54">
        <v>23093</v>
      </c>
      <c r="D116" s="56">
        <v>2.3910000000000001E-4</v>
      </c>
      <c r="E116" s="32"/>
      <c r="F116" s="31"/>
      <c r="G116" s="146"/>
      <c r="H116" s="25"/>
    </row>
    <row r="117" spans="1:8">
      <c r="A117" s="143">
        <v>2362</v>
      </c>
      <c r="B117" s="149" t="s">
        <v>107</v>
      </c>
      <c r="C117" s="55">
        <v>29548</v>
      </c>
      <c r="D117" s="57">
        <v>3.0590000000000001E-4</v>
      </c>
      <c r="E117" s="32"/>
      <c r="F117" s="31"/>
      <c r="G117" s="146"/>
      <c r="H117" s="25"/>
    </row>
    <row r="118" spans="1:8">
      <c r="A118" s="147">
        <v>5013</v>
      </c>
      <c r="B118" s="148" t="s">
        <v>108</v>
      </c>
      <c r="C118" s="54">
        <v>28320</v>
      </c>
      <c r="D118" s="56">
        <v>2.9320000000000003E-4</v>
      </c>
      <c r="E118" s="32"/>
      <c r="F118" s="31"/>
      <c r="G118" s="146"/>
      <c r="H118" s="25"/>
    </row>
    <row r="119" spans="1:8">
      <c r="A119" s="143">
        <v>3110</v>
      </c>
      <c r="B119" s="149" t="s">
        <v>109</v>
      </c>
      <c r="C119" s="55">
        <v>142983</v>
      </c>
      <c r="D119" s="57">
        <v>1.4804E-3</v>
      </c>
      <c r="E119" s="32"/>
      <c r="F119" s="31"/>
      <c r="G119" s="146"/>
      <c r="H119" s="25"/>
    </row>
    <row r="120" spans="1:8">
      <c r="A120" s="147">
        <v>14044</v>
      </c>
      <c r="B120" s="148" t="s">
        <v>110</v>
      </c>
      <c r="C120" s="54">
        <v>455420</v>
      </c>
      <c r="D120" s="56">
        <v>4.7152000000000001E-3</v>
      </c>
      <c r="E120" s="32"/>
      <c r="F120" s="31"/>
      <c r="G120" s="146"/>
      <c r="H120" s="25"/>
    </row>
    <row r="121" spans="1:8">
      <c r="A121" s="143">
        <v>4009</v>
      </c>
      <c r="B121" s="149" t="s">
        <v>111</v>
      </c>
      <c r="C121" s="55">
        <v>60939</v>
      </c>
      <c r="D121" s="57">
        <v>6.3089999999999999E-4</v>
      </c>
      <c r="E121" s="32"/>
      <c r="F121" s="31"/>
      <c r="G121" s="146"/>
      <c r="H121" s="25"/>
    </row>
    <row r="122" spans="1:8">
      <c r="A122" s="147">
        <v>7022</v>
      </c>
      <c r="B122" s="148" t="s">
        <v>112</v>
      </c>
      <c r="C122" s="54">
        <v>161161</v>
      </c>
      <c r="D122" s="56">
        <v>1.6685999999999999E-3</v>
      </c>
      <c r="E122" s="32"/>
      <c r="F122" s="31"/>
      <c r="G122" s="146"/>
      <c r="H122" s="25"/>
    </row>
    <row r="123" spans="1:8">
      <c r="A123" s="143">
        <v>2430</v>
      </c>
      <c r="B123" s="149" t="s">
        <v>113</v>
      </c>
      <c r="C123" s="55">
        <v>24999</v>
      </c>
      <c r="D123" s="57">
        <v>2.588E-4</v>
      </c>
      <c r="E123" s="32"/>
      <c r="F123" s="31"/>
      <c r="G123" s="146"/>
      <c r="H123" s="25"/>
    </row>
    <row r="124" spans="1:8">
      <c r="A124" s="147">
        <v>9150</v>
      </c>
      <c r="B124" s="148" t="s">
        <v>114</v>
      </c>
      <c r="C124" s="54">
        <v>13383</v>
      </c>
      <c r="D124" s="56">
        <v>1.3860000000000001E-4</v>
      </c>
      <c r="E124" s="32"/>
      <c r="F124" s="31"/>
      <c r="G124" s="146"/>
      <c r="H124" s="25"/>
    </row>
    <row r="125" spans="1:8">
      <c r="A125" s="143">
        <v>6017</v>
      </c>
      <c r="B125" s="149" t="s">
        <v>115</v>
      </c>
      <c r="C125" s="55">
        <v>1230189</v>
      </c>
      <c r="D125" s="57">
        <v>1.27368E-2</v>
      </c>
      <c r="E125" s="32"/>
      <c r="F125" s="31"/>
      <c r="G125" s="146"/>
      <c r="H125" s="25"/>
    </row>
    <row r="126" spans="1:8">
      <c r="A126" s="147">
        <v>26080</v>
      </c>
      <c r="B126" s="148" t="s">
        <v>116</v>
      </c>
      <c r="C126" s="54">
        <v>33625</v>
      </c>
      <c r="D126" s="56">
        <v>3.481E-4</v>
      </c>
      <c r="E126" s="32"/>
      <c r="F126" s="31"/>
      <c r="G126" s="146"/>
      <c r="H126" s="25"/>
    </row>
    <row r="127" spans="1:8">
      <c r="A127" s="143">
        <v>2327</v>
      </c>
      <c r="B127" s="149" t="s">
        <v>117</v>
      </c>
      <c r="C127" s="55">
        <v>41772</v>
      </c>
      <c r="D127" s="57">
        <v>4.325E-4</v>
      </c>
      <c r="E127" s="32"/>
      <c r="F127" s="31"/>
      <c r="G127" s="146"/>
      <c r="H127" s="25"/>
    </row>
    <row r="128" spans="1:8">
      <c r="A128" s="147">
        <v>10119</v>
      </c>
      <c r="B128" s="148" t="s">
        <v>118</v>
      </c>
      <c r="C128" s="54">
        <v>23184</v>
      </c>
      <c r="D128" s="56">
        <v>2.4000000000000001E-4</v>
      </c>
      <c r="E128" s="32"/>
      <c r="F128" s="31"/>
      <c r="G128" s="146"/>
      <c r="H128" s="25"/>
    </row>
    <row r="129" spans="1:8">
      <c r="A129" s="143">
        <v>573</v>
      </c>
      <c r="B129" s="149" t="s">
        <v>411</v>
      </c>
      <c r="C129" s="55">
        <v>37443</v>
      </c>
      <c r="D129" s="57">
        <v>3.8769999999999999E-4</v>
      </c>
      <c r="E129" s="32"/>
      <c r="F129" s="31"/>
      <c r="G129" s="146"/>
      <c r="H129" s="25"/>
    </row>
    <row r="130" spans="1:8">
      <c r="A130" s="147">
        <v>2368</v>
      </c>
      <c r="B130" s="148" t="s">
        <v>119</v>
      </c>
      <c r="C130" s="54">
        <v>48382</v>
      </c>
      <c r="D130" s="56">
        <v>5.0089999999999998E-4</v>
      </c>
      <c r="E130" s="32"/>
      <c r="F130" s="31"/>
      <c r="G130" s="146"/>
      <c r="H130" s="25"/>
    </row>
    <row r="131" spans="1:8">
      <c r="A131" s="143">
        <v>7420</v>
      </c>
      <c r="B131" s="149" t="s">
        <v>120</v>
      </c>
      <c r="C131" s="55">
        <v>22926</v>
      </c>
      <c r="D131" s="57">
        <v>2.374E-4</v>
      </c>
      <c r="E131" s="32"/>
      <c r="F131" s="31"/>
      <c r="G131" s="146"/>
      <c r="H131" s="25"/>
    </row>
    <row r="132" spans="1:8">
      <c r="A132" s="147">
        <v>6018</v>
      </c>
      <c r="B132" s="148" t="s">
        <v>121</v>
      </c>
      <c r="C132" s="54">
        <v>69881</v>
      </c>
      <c r="D132" s="56">
        <v>7.2349999999999997E-4</v>
      </c>
      <c r="E132" s="32"/>
      <c r="F132" s="31"/>
      <c r="G132" s="146"/>
      <c r="H132" s="25"/>
    </row>
    <row r="133" spans="1:8">
      <c r="A133" s="143">
        <v>3321</v>
      </c>
      <c r="B133" s="149" t="s">
        <v>122</v>
      </c>
      <c r="C133" s="55">
        <v>29255</v>
      </c>
      <c r="D133" s="57">
        <v>3.0289999999999999E-4</v>
      </c>
      <c r="E133" s="32"/>
      <c r="F133" s="31"/>
      <c r="G133" s="146"/>
      <c r="H133" s="25"/>
    </row>
    <row r="134" spans="1:8">
      <c r="A134" s="147">
        <v>29122</v>
      </c>
      <c r="B134" s="148" t="s">
        <v>123</v>
      </c>
      <c r="C134" s="54">
        <v>39038</v>
      </c>
      <c r="D134" s="56">
        <v>4.0420000000000001E-4</v>
      </c>
      <c r="E134" s="32"/>
      <c r="F134" s="31"/>
      <c r="G134" s="146"/>
      <c r="H134" s="25"/>
    </row>
    <row r="135" spans="1:8">
      <c r="A135" s="143">
        <v>29088</v>
      </c>
      <c r="B135" s="149" t="s">
        <v>124</v>
      </c>
      <c r="C135" s="55">
        <v>52089</v>
      </c>
      <c r="D135" s="57">
        <v>5.3930000000000004E-4</v>
      </c>
      <c r="E135" s="32"/>
      <c r="F135" s="31"/>
      <c r="G135" s="146"/>
      <c r="H135" s="25"/>
    </row>
    <row r="136" spans="1:8">
      <c r="A136" s="147">
        <v>7337</v>
      </c>
      <c r="B136" s="148" t="s">
        <v>125</v>
      </c>
      <c r="C136" s="106">
        <v>13422</v>
      </c>
      <c r="D136" s="56">
        <v>1.3899999999999999E-4</v>
      </c>
      <c r="E136" s="32"/>
      <c r="F136" s="31"/>
      <c r="G136" s="146"/>
      <c r="H136" s="25"/>
    </row>
    <row r="137" spans="1:8">
      <c r="A137" s="143">
        <v>2329</v>
      </c>
      <c r="B137" s="149" t="s">
        <v>126</v>
      </c>
      <c r="C137" s="55">
        <v>42684</v>
      </c>
      <c r="D137" s="57">
        <v>4.4190000000000001E-4</v>
      </c>
      <c r="E137" s="32"/>
      <c r="F137" s="31"/>
      <c r="G137" s="146"/>
      <c r="H137" s="25"/>
    </row>
    <row r="138" spans="1:8">
      <c r="A138" s="147">
        <v>17425</v>
      </c>
      <c r="B138" s="148" t="s">
        <v>128</v>
      </c>
      <c r="C138" s="54">
        <v>5512</v>
      </c>
      <c r="D138" s="56">
        <v>5.7099999999999999E-5</v>
      </c>
      <c r="E138" s="32"/>
      <c r="F138" s="31"/>
      <c r="G138" s="146"/>
      <c r="H138" s="25"/>
    </row>
    <row r="139" spans="1:8">
      <c r="A139" s="143">
        <v>4010</v>
      </c>
      <c r="B139" s="149" t="s">
        <v>129</v>
      </c>
      <c r="C139" s="55">
        <v>24215</v>
      </c>
      <c r="D139" s="57">
        <v>2.5070000000000002E-4</v>
      </c>
      <c r="E139" s="32"/>
      <c r="F139" s="31"/>
      <c r="G139" s="146"/>
      <c r="H139" s="25"/>
    </row>
    <row r="140" spans="1:8">
      <c r="A140" s="147">
        <v>7023</v>
      </c>
      <c r="B140" s="148" t="s">
        <v>439</v>
      </c>
      <c r="C140" s="54">
        <v>3057526</v>
      </c>
      <c r="D140" s="56">
        <v>3.1656299999999998E-2</v>
      </c>
      <c r="E140" s="32"/>
      <c r="F140" s="31"/>
      <c r="G140" s="146"/>
      <c r="H140" s="25"/>
    </row>
    <row r="141" spans="1:8">
      <c r="A141" s="143">
        <v>7338</v>
      </c>
      <c r="B141" s="149" t="s">
        <v>131</v>
      </c>
      <c r="C141" s="55">
        <v>28005</v>
      </c>
      <c r="D141" s="57">
        <v>2.9E-4</v>
      </c>
      <c r="E141" s="32"/>
      <c r="F141" s="31"/>
      <c r="G141" s="146"/>
      <c r="H141" s="25"/>
    </row>
    <row r="142" spans="1:8">
      <c r="A142" s="147">
        <v>12037</v>
      </c>
      <c r="B142" s="148" t="s">
        <v>132</v>
      </c>
      <c r="C142" s="54">
        <v>195073</v>
      </c>
      <c r="D142" s="56">
        <v>2.0197000000000001E-3</v>
      </c>
      <c r="E142" s="32"/>
      <c r="F142" s="31"/>
      <c r="G142" s="146"/>
      <c r="H142" s="25"/>
    </row>
    <row r="143" spans="1:8">
      <c r="A143" s="143">
        <v>3150</v>
      </c>
      <c r="B143" s="149" t="s">
        <v>133</v>
      </c>
      <c r="C143" s="55">
        <v>360455</v>
      </c>
      <c r="D143" s="57">
        <v>3.7320000000000001E-3</v>
      </c>
      <c r="E143" s="32"/>
      <c r="F143" s="31"/>
      <c r="G143" s="146"/>
      <c r="H143" s="25"/>
    </row>
    <row r="144" spans="1:8">
      <c r="A144" s="147">
        <v>3160</v>
      </c>
      <c r="B144" s="148" t="s">
        <v>134</v>
      </c>
      <c r="C144" s="54">
        <v>91409</v>
      </c>
      <c r="D144" s="56">
        <v>9.4640000000000002E-4</v>
      </c>
      <c r="E144" s="32"/>
      <c r="F144" s="31"/>
      <c r="G144" s="146"/>
      <c r="H144" s="25"/>
    </row>
    <row r="145" spans="1:8">
      <c r="A145" s="143">
        <v>10120</v>
      </c>
      <c r="B145" s="149" t="s">
        <v>136</v>
      </c>
      <c r="C145" s="55">
        <v>45195</v>
      </c>
      <c r="D145" s="57">
        <v>4.6789999999999999E-4</v>
      </c>
      <c r="E145" s="32"/>
      <c r="F145" s="31"/>
      <c r="G145" s="146"/>
      <c r="H145" s="25"/>
    </row>
    <row r="146" spans="1:8">
      <c r="A146" s="147">
        <v>23070</v>
      </c>
      <c r="B146" s="148" t="s">
        <v>137</v>
      </c>
      <c r="C146" s="54">
        <v>75791</v>
      </c>
      <c r="D146" s="56">
        <v>7.8470000000000005E-4</v>
      </c>
      <c r="E146" s="32"/>
      <c r="F146" s="31"/>
      <c r="G146" s="146"/>
      <c r="H146" s="25"/>
    </row>
    <row r="147" spans="1:8">
      <c r="A147" s="143">
        <v>3170</v>
      </c>
      <c r="B147" s="149" t="s">
        <v>138</v>
      </c>
      <c r="C147" s="55">
        <v>912309</v>
      </c>
      <c r="D147" s="57">
        <v>9.4456000000000002E-3</v>
      </c>
      <c r="E147" s="32"/>
      <c r="F147" s="31"/>
      <c r="G147" s="146"/>
      <c r="H147" s="25"/>
    </row>
    <row r="148" spans="1:8">
      <c r="A148" s="147">
        <v>32093</v>
      </c>
      <c r="B148" s="148" t="s">
        <v>139</v>
      </c>
      <c r="C148" s="54">
        <v>586168</v>
      </c>
      <c r="D148" s="56">
        <v>6.0689000000000003E-3</v>
      </c>
      <c r="E148" s="32"/>
      <c r="F148" s="31"/>
      <c r="G148" s="146"/>
      <c r="H148" s="25"/>
    </row>
    <row r="149" spans="1:8">
      <c r="A149" s="143">
        <v>14045</v>
      </c>
      <c r="B149" s="149" t="s">
        <v>140</v>
      </c>
      <c r="C149" s="55">
        <v>1012205</v>
      </c>
      <c r="D149" s="57">
        <v>1.04799E-2</v>
      </c>
      <c r="E149" s="32"/>
      <c r="F149" s="31"/>
      <c r="G149" s="146"/>
      <c r="H149" s="25"/>
    </row>
    <row r="150" spans="1:8">
      <c r="A150" s="147">
        <v>2322</v>
      </c>
      <c r="B150" s="148" t="s">
        <v>141</v>
      </c>
      <c r="C150" s="54">
        <v>23212</v>
      </c>
      <c r="D150" s="56">
        <v>2.4030000000000001E-4</v>
      </c>
      <c r="E150" s="32"/>
      <c r="F150" s="31"/>
      <c r="G150" s="146"/>
      <c r="H150" s="25"/>
    </row>
    <row r="151" spans="1:8">
      <c r="A151" s="143">
        <v>3006</v>
      </c>
      <c r="B151" s="149" t="s">
        <v>142</v>
      </c>
      <c r="C151" s="55">
        <v>87165</v>
      </c>
      <c r="D151" s="57">
        <v>9.0249999999999998E-4</v>
      </c>
      <c r="E151" s="32"/>
      <c r="F151" s="31"/>
      <c r="G151" s="146"/>
      <c r="H151" s="25"/>
    </row>
    <row r="152" spans="1:8">
      <c r="A152" s="147">
        <v>6019</v>
      </c>
      <c r="B152" s="148" t="s">
        <v>143</v>
      </c>
      <c r="C152" s="54">
        <v>448933</v>
      </c>
      <c r="D152" s="56">
        <v>4.6480999999999996E-3</v>
      </c>
      <c r="E152" s="32"/>
      <c r="F152" s="31"/>
      <c r="G152" s="146"/>
      <c r="H152" s="25"/>
    </row>
    <row r="153" spans="1:8">
      <c r="A153" s="143">
        <v>12128</v>
      </c>
      <c r="B153" s="144" t="s">
        <v>144</v>
      </c>
      <c r="C153" s="107">
        <v>113598</v>
      </c>
      <c r="D153" s="66">
        <v>1.1761E-3</v>
      </c>
      <c r="E153" s="32"/>
      <c r="F153" s="31"/>
      <c r="G153" s="146"/>
      <c r="H153" s="25"/>
    </row>
    <row r="154" spans="1:8">
      <c r="A154" s="147">
        <v>3180</v>
      </c>
      <c r="B154" s="148" t="s">
        <v>145</v>
      </c>
      <c r="C154" s="54">
        <v>171701</v>
      </c>
      <c r="D154" s="56">
        <v>1.7776999999999999E-3</v>
      </c>
      <c r="E154" s="32"/>
      <c r="F154" s="31"/>
      <c r="G154" s="146"/>
      <c r="H154" s="25"/>
    </row>
    <row r="155" spans="1:8">
      <c r="A155" s="143">
        <v>25075</v>
      </c>
      <c r="B155" s="149" t="s">
        <v>146</v>
      </c>
      <c r="C155" s="55">
        <v>69964</v>
      </c>
      <c r="D155" s="57">
        <v>7.2440000000000004E-4</v>
      </c>
      <c r="E155" s="32"/>
      <c r="F155" s="31"/>
      <c r="G155" s="146"/>
      <c r="H155" s="25"/>
    </row>
    <row r="156" spans="1:8">
      <c r="A156" s="147">
        <v>2311</v>
      </c>
      <c r="B156" s="148" t="s">
        <v>440</v>
      </c>
      <c r="C156" s="54">
        <v>25958</v>
      </c>
      <c r="D156" s="56">
        <v>2.6879999999999997E-4</v>
      </c>
      <c r="E156" s="32"/>
      <c r="F156" s="31"/>
      <c r="G156" s="146"/>
      <c r="H156" s="25"/>
    </row>
    <row r="157" spans="1:8">
      <c r="A157" s="143">
        <v>9028</v>
      </c>
      <c r="B157" s="149" t="s">
        <v>147</v>
      </c>
      <c r="C157" s="55">
        <v>27669</v>
      </c>
      <c r="D157" s="57">
        <v>2.8650000000000003E-4</v>
      </c>
      <c r="E157" s="32"/>
      <c r="F157" s="31"/>
      <c r="G157" s="146"/>
      <c r="H157" s="25"/>
    </row>
    <row r="158" spans="1:8">
      <c r="A158" s="147">
        <v>17424</v>
      </c>
      <c r="B158" s="148" t="s">
        <v>148</v>
      </c>
      <c r="C158" s="54">
        <v>49863</v>
      </c>
      <c r="D158" s="56">
        <v>5.1630000000000003E-4</v>
      </c>
      <c r="E158" s="32"/>
      <c r="F158" s="31"/>
      <c r="G158" s="146"/>
      <c r="H158" s="25"/>
    </row>
    <row r="159" spans="1:8">
      <c r="A159" s="143">
        <v>3200</v>
      </c>
      <c r="B159" s="149" t="s">
        <v>149</v>
      </c>
      <c r="C159" s="55">
        <v>199613</v>
      </c>
      <c r="D159" s="57">
        <v>2.0666999999999999E-3</v>
      </c>
      <c r="E159" s="32"/>
      <c r="F159" s="31"/>
      <c r="G159" s="146"/>
      <c r="H159" s="25"/>
    </row>
    <row r="160" spans="1:8">
      <c r="A160" s="147">
        <v>2365</v>
      </c>
      <c r="B160" s="148" t="s">
        <v>150</v>
      </c>
      <c r="C160" s="54">
        <v>31994</v>
      </c>
      <c r="D160" s="56">
        <v>3.3129999999999998E-4</v>
      </c>
      <c r="E160" s="32"/>
      <c r="F160" s="31"/>
      <c r="G160" s="146"/>
      <c r="H160" s="25"/>
    </row>
    <row r="161" spans="1:8">
      <c r="A161" s="143">
        <v>5014</v>
      </c>
      <c r="B161" s="149" t="s">
        <v>151</v>
      </c>
      <c r="C161" s="55">
        <v>38117</v>
      </c>
      <c r="D161" s="57">
        <v>3.946E-4</v>
      </c>
      <c r="E161" s="32"/>
      <c r="F161" s="31"/>
      <c r="G161" s="146"/>
      <c r="H161" s="25"/>
    </row>
    <row r="162" spans="1:8">
      <c r="A162" s="147">
        <v>17127</v>
      </c>
      <c r="B162" s="148" t="s">
        <v>152</v>
      </c>
      <c r="C162" s="54">
        <v>40519</v>
      </c>
      <c r="D162" s="56">
        <v>4.1950000000000001E-4</v>
      </c>
      <c r="E162" s="32"/>
      <c r="F162" s="31"/>
      <c r="G162" s="146"/>
      <c r="H162" s="25"/>
    </row>
    <row r="163" spans="1:8">
      <c r="A163" s="143">
        <v>10141</v>
      </c>
      <c r="B163" s="149" t="s">
        <v>153</v>
      </c>
      <c r="C163" s="55">
        <v>59822</v>
      </c>
      <c r="D163" s="57">
        <v>6.1939999999999999E-4</v>
      </c>
      <c r="E163" s="32"/>
      <c r="F163" s="31"/>
      <c r="G163" s="146"/>
      <c r="H163" s="25"/>
    </row>
    <row r="164" spans="1:8">
      <c r="A164" s="147">
        <v>13369</v>
      </c>
      <c r="B164" s="148" t="s">
        <v>154</v>
      </c>
      <c r="C164" s="54">
        <v>12856</v>
      </c>
      <c r="D164" s="56">
        <v>1.3310000000000001E-4</v>
      </c>
      <c r="E164" s="32"/>
      <c r="F164" s="31"/>
      <c r="G164" s="146"/>
      <c r="H164" s="25"/>
    </row>
    <row r="165" spans="1:8">
      <c r="A165" s="143">
        <v>4570</v>
      </c>
      <c r="B165" s="149" t="s">
        <v>412</v>
      </c>
      <c r="C165" s="55">
        <v>141885</v>
      </c>
      <c r="D165" s="57">
        <v>1.469E-3</v>
      </c>
      <c r="E165" s="32"/>
      <c r="F165" s="31"/>
      <c r="G165" s="146"/>
      <c r="H165" s="25"/>
    </row>
    <row r="166" spans="1:8">
      <c r="A166" s="147">
        <v>2425</v>
      </c>
      <c r="B166" s="148" t="s">
        <v>155</v>
      </c>
      <c r="C166" s="54">
        <v>168287</v>
      </c>
      <c r="D166" s="56">
        <v>1.7424000000000001E-3</v>
      </c>
      <c r="E166" s="32"/>
      <c r="F166" s="31"/>
      <c r="G166" s="146"/>
      <c r="H166" s="25"/>
    </row>
    <row r="167" spans="1:8">
      <c r="A167" s="143">
        <v>1306</v>
      </c>
      <c r="B167" s="149" t="s">
        <v>156</v>
      </c>
      <c r="C167" s="55">
        <v>45696</v>
      </c>
      <c r="D167" s="57">
        <v>4.7310000000000001E-4</v>
      </c>
      <c r="E167" s="32"/>
      <c r="F167" s="31"/>
      <c r="G167" s="146"/>
      <c r="H167" s="25"/>
    </row>
    <row r="168" spans="1:8">
      <c r="A168" s="147">
        <v>2351</v>
      </c>
      <c r="B168" s="148" t="s">
        <v>157</v>
      </c>
      <c r="C168" s="54">
        <v>36232</v>
      </c>
      <c r="D168" s="56">
        <v>3.7510000000000001E-4</v>
      </c>
      <c r="E168" s="32"/>
      <c r="F168" s="31"/>
      <c r="G168" s="146"/>
      <c r="H168" s="25"/>
    </row>
    <row r="169" spans="1:8">
      <c r="A169" s="143">
        <v>2334</v>
      </c>
      <c r="B169" s="149" t="s">
        <v>158</v>
      </c>
      <c r="C169" s="55">
        <v>26023</v>
      </c>
      <c r="D169" s="57">
        <v>2.6939999999999999E-4</v>
      </c>
      <c r="E169" s="32"/>
      <c r="F169" s="31"/>
      <c r="G169" s="146"/>
      <c r="H169" s="25"/>
    </row>
    <row r="170" spans="1:8">
      <c r="A170" s="147">
        <v>30089</v>
      </c>
      <c r="B170" s="148" t="s">
        <v>159</v>
      </c>
      <c r="C170" s="54">
        <v>79338</v>
      </c>
      <c r="D170" s="56">
        <v>8.2140000000000002E-4</v>
      </c>
      <c r="E170" s="32"/>
      <c r="F170" s="31"/>
      <c r="G170" s="146"/>
      <c r="H170" s="25"/>
    </row>
    <row r="171" spans="1:8">
      <c r="A171" s="143">
        <v>9324</v>
      </c>
      <c r="B171" s="149" t="s">
        <v>160</v>
      </c>
      <c r="C171" s="55">
        <v>11463</v>
      </c>
      <c r="D171" s="57">
        <v>1.187E-4</v>
      </c>
      <c r="E171" s="32"/>
      <c r="F171" s="31"/>
      <c r="G171" s="146"/>
      <c r="H171" s="25"/>
    </row>
    <row r="172" spans="1:8">
      <c r="A172" s="147">
        <v>22066</v>
      </c>
      <c r="B172" s="148" t="s">
        <v>161</v>
      </c>
      <c r="C172" s="54">
        <v>305780</v>
      </c>
      <c r="D172" s="56">
        <v>3.1659000000000001E-3</v>
      </c>
      <c r="E172" s="32"/>
      <c r="F172" s="31"/>
      <c r="G172" s="146"/>
      <c r="H172" s="25"/>
    </row>
    <row r="173" spans="1:8">
      <c r="A173" s="143">
        <v>16356</v>
      </c>
      <c r="B173" s="149" t="s">
        <v>162</v>
      </c>
      <c r="C173" s="55">
        <v>19050</v>
      </c>
      <c r="D173" s="57">
        <v>1.972E-4</v>
      </c>
      <c r="E173" s="32"/>
      <c r="F173" s="31"/>
      <c r="G173" s="146"/>
      <c r="H173" s="25"/>
    </row>
    <row r="174" spans="1:8">
      <c r="A174" s="147">
        <v>31091</v>
      </c>
      <c r="B174" s="148" t="s">
        <v>163</v>
      </c>
      <c r="C174" s="54">
        <v>18105</v>
      </c>
      <c r="D174" s="56">
        <v>1.875E-4</v>
      </c>
      <c r="E174" s="32"/>
      <c r="F174" s="31"/>
      <c r="G174" s="146"/>
      <c r="H174" s="25"/>
    </row>
    <row r="175" spans="1:8">
      <c r="A175" s="143">
        <v>2342</v>
      </c>
      <c r="B175" s="149" t="s">
        <v>164</v>
      </c>
      <c r="C175" s="55">
        <v>28804</v>
      </c>
      <c r="D175" s="57">
        <v>2.9819999999999998E-4</v>
      </c>
      <c r="E175" s="32"/>
      <c r="F175" s="31"/>
      <c r="G175" s="146"/>
      <c r="H175" s="25"/>
    </row>
    <row r="176" spans="1:8">
      <c r="A176" s="147">
        <v>22067</v>
      </c>
      <c r="B176" s="148" t="s">
        <v>165</v>
      </c>
      <c r="C176" s="54">
        <v>42607</v>
      </c>
      <c r="D176" s="56">
        <v>4.4109999999999999E-4</v>
      </c>
      <c r="E176" s="32"/>
      <c r="F176" s="31"/>
      <c r="G176" s="146"/>
      <c r="H176" s="25"/>
    </row>
    <row r="177" spans="1:8">
      <c r="A177" s="143">
        <v>32112</v>
      </c>
      <c r="B177" s="149" t="s">
        <v>166</v>
      </c>
      <c r="C177" s="55">
        <v>25172</v>
      </c>
      <c r="D177" s="57">
        <v>2.6059999999999999E-4</v>
      </c>
      <c r="E177" s="32"/>
      <c r="F177" s="31"/>
      <c r="G177" s="146"/>
      <c r="H177" s="25"/>
    </row>
    <row r="178" spans="1:8">
      <c r="A178" s="147">
        <v>2354</v>
      </c>
      <c r="B178" s="148" t="s">
        <v>167</v>
      </c>
      <c r="C178" s="54">
        <v>65648</v>
      </c>
      <c r="D178" s="56">
        <v>6.7969999999999999E-4</v>
      </c>
      <c r="E178" s="32"/>
      <c r="F178" s="31"/>
      <c r="G178" s="146"/>
      <c r="H178" s="25"/>
    </row>
    <row r="179" spans="1:8">
      <c r="A179" s="143">
        <v>2148</v>
      </c>
      <c r="B179" s="149" t="s">
        <v>168</v>
      </c>
      <c r="C179" s="55">
        <v>23392</v>
      </c>
      <c r="D179" s="57">
        <v>2.4220000000000001E-4</v>
      </c>
      <c r="E179" s="32"/>
      <c r="F179" s="31"/>
      <c r="G179" s="146"/>
      <c r="H179" s="25"/>
    </row>
    <row r="180" spans="1:8">
      <c r="A180" s="147">
        <v>1418</v>
      </c>
      <c r="B180" s="148" t="s">
        <v>169</v>
      </c>
      <c r="C180" s="54">
        <v>90250</v>
      </c>
      <c r="D180" s="56">
        <v>9.3440000000000005E-4</v>
      </c>
      <c r="E180" s="32"/>
      <c r="F180" s="31"/>
      <c r="G180" s="146"/>
      <c r="H180" s="25"/>
    </row>
    <row r="181" spans="1:8">
      <c r="A181" s="143">
        <v>12102</v>
      </c>
      <c r="B181" s="149" t="s">
        <v>170</v>
      </c>
      <c r="C181" s="55">
        <v>511449</v>
      </c>
      <c r="D181" s="57">
        <v>5.2953000000000002E-3</v>
      </c>
      <c r="E181" s="32"/>
      <c r="F181" s="31"/>
      <c r="G181" s="146"/>
      <c r="H181" s="25"/>
    </row>
    <row r="182" spans="1:8">
      <c r="A182" s="147">
        <v>2414</v>
      </c>
      <c r="B182" s="148" t="s">
        <v>171</v>
      </c>
      <c r="C182" s="54">
        <v>38799</v>
      </c>
      <c r="D182" s="56">
        <v>4.0170000000000001E-4</v>
      </c>
      <c r="E182" s="32"/>
      <c r="F182" s="31"/>
      <c r="G182" s="146"/>
      <c r="H182" s="25"/>
    </row>
    <row r="183" spans="1:8">
      <c r="A183" s="143">
        <v>6124</v>
      </c>
      <c r="B183" s="149" t="s">
        <v>172</v>
      </c>
      <c r="C183" s="55">
        <v>240583</v>
      </c>
      <c r="D183" s="57">
        <v>2.4908999999999999E-3</v>
      </c>
      <c r="E183" s="32"/>
      <c r="F183" s="31"/>
      <c r="G183" s="146"/>
      <c r="H183" s="25"/>
    </row>
    <row r="184" spans="1:8">
      <c r="A184" s="147">
        <v>4097</v>
      </c>
      <c r="B184" s="148" t="s">
        <v>173</v>
      </c>
      <c r="C184" s="54">
        <v>284708</v>
      </c>
      <c r="D184" s="56">
        <v>2.9477000000000001E-3</v>
      </c>
      <c r="E184" s="32"/>
      <c r="F184" s="31"/>
      <c r="G184" s="146"/>
      <c r="H184" s="25"/>
    </row>
    <row r="185" spans="1:8">
      <c r="A185" s="143">
        <v>1416</v>
      </c>
      <c r="B185" s="149" t="s">
        <v>174</v>
      </c>
      <c r="C185" s="55">
        <v>35089</v>
      </c>
      <c r="D185" s="57">
        <v>3.6329999999999999E-4</v>
      </c>
      <c r="E185" s="32"/>
      <c r="F185" s="31"/>
      <c r="G185" s="146"/>
      <c r="H185" s="25"/>
    </row>
    <row r="186" spans="1:8">
      <c r="A186" s="147">
        <v>1094</v>
      </c>
      <c r="B186" s="148" t="s">
        <v>175</v>
      </c>
      <c r="C186" s="54">
        <v>212632</v>
      </c>
      <c r="D186" s="56">
        <v>2.2014999999999999E-3</v>
      </c>
      <c r="E186" s="32"/>
      <c r="F186" s="31"/>
      <c r="G186" s="146"/>
      <c r="H186" s="25"/>
    </row>
    <row r="187" spans="1:8">
      <c r="A187" s="143">
        <v>32111</v>
      </c>
      <c r="B187" s="149" t="s">
        <v>176</v>
      </c>
      <c r="C187" s="55">
        <v>195114</v>
      </c>
      <c r="D187" s="57">
        <v>2.0200999999999999E-3</v>
      </c>
      <c r="E187" s="32"/>
      <c r="F187" s="31"/>
      <c r="G187" s="146"/>
      <c r="H187" s="25"/>
    </row>
    <row r="188" spans="1:8">
      <c r="A188" s="147">
        <v>2520</v>
      </c>
      <c r="B188" s="148" t="s">
        <v>177</v>
      </c>
      <c r="C188" s="54">
        <v>26981</v>
      </c>
      <c r="D188" s="56">
        <v>2.7930000000000001E-4</v>
      </c>
      <c r="E188" s="32"/>
      <c r="F188" s="31"/>
      <c r="G188" s="146"/>
      <c r="H188" s="25"/>
    </row>
    <row r="189" spans="1:8">
      <c r="A189" s="143">
        <v>3450</v>
      </c>
      <c r="B189" s="149" t="s">
        <v>178</v>
      </c>
      <c r="C189" s="55">
        <v>55012</v>
      </c>
      <c r="D189" s="57">
        <v>5.6959999999999997E-4</v>
      </c>
      <c r="E189" s="32"/>
      <c r="F189" s="31"/>
      <c r="G189" s="146"/>
      <c r="H189" s="25"/>
    </row>
    <row r="190" spans="1:8">
      <c r="A190" s="147">
        <v>4310</v>
      </c>
      <c r="B190" s="148" t="s">
        <v>179</v>
      </c>
      <c r="C190" s="54">
        <v>31433</v>
      </c>
      <c r="D190" s="56">
        <v>3.2539999999999999E-4</v>
      </c>
      <c r="E190" s="32"/>
      <c r="F190" s="31"/>
      <c r="G190" s="146"/>
      <c r="H190" s="25"/>
    </row>
    <row r="191" spans="1:8">
      <c r="A191" s="143">
        <v>2328</v>
      </c>
      <c r="B191" s="149" t="s">
        <v>180</v>
      </c>
      <c r="C191" s="55">
        <v>51190</v>
      </c>
      <c r="D191" s="57">
        <v>5.2999999999999998E-4</v>
      </c>
      <c r="E191" s="32"/>
      <c r="F191" s="31"/>
      <c r="G191" s="146"/>
      <c r="H191" s="25"/>
    </row>
    <row r="192" spans="1:8">
      <c r="A192" s="147">
        <v>12151</v>
      </c>
      <c r="B192" s="148" t="s">
        <v>181</v>
      </c>
      <c r="C192" s="54">
        <v>16919</v>
      </c>
      <c r="D192" s="56">
        <v>1.752E-4</v>
      </c>
      <c r="E192" s="32"/>
      <c r="F192" s="31"/>
      <c r="G192" s="146"/>
      <c r="H192" s="25"/>
    </row>
    <row r="193" spans="1:8">
      <c r="A193" s="143">
        <v>32110</v>
      </c>
      <c r="B193" s="149" t="s">
        <v>182</v>
      </c>
      <c r="C193" s="55">
        <v>195590</v>
      </c>
      <c r="D193" s="57">
        <v>2.0251000000000002E-3</v>
      </c>
      <c r="E193" s="32"/>
      <c r="F193" s="31"/>
      <c r="G193" s="146"/>
      <c r="H193" s="25"/>
    </row>
    <row r="194" spans="1:8">
      <c r="A194" s="147">
        <v>4215</v>
      </c>
      <c r="B194" s="148" t="s">
        <v>183</v>
      </c>
      <c r="C194" s="54">
        <v>2860</v>
      </c>
      <c r="D194" s="56">
        <v>2.9600000000000001E-5</v>
      </c>
      <c r="E194" s="32"/>
      <c r="F194" s="31"/>
      <c r="G194" s="146"/>
      <c r="H194" s="25"/>
    </row>
    <row r="195" spans="1:8">
      <c r="A195" s="143">
        <v>2870</v>
      </c>
      <c r="B195" s="149" t="s">
        <v>184</v>
      </c>
      <c r="C195" s="55">
        <v>31130</v>
      </c>
      <c r="D195" s="57">
        <v>3.2229999999999997E-4</v>
      </c>
      <c r="E195" s="32"/>
      <c r="F195" s="31"/>
      <c r="G195" s="146"/>
      <c r="H195" s="25"/>
    </row>
    <row r="196" spans="1:8">
      <c r="A196" s="147">
        <v>29150</v>
      </c>
      <c r="B196" s="148" t="s">
        <v>185</v>
      </c>
      <c r="C196" s="54">
        <v>9501</v>
      </c>
      <c r="D196" s="56">
        <v>9.8400000000000007E-5</v>
      </c>
      <c r="E196" s="32"/>
      <c r="F196" s="31"/>
      <c r="G196" s="146"/>
      <c r="H196" s="25"/>
    </row>
    <row r="197" spans="1:8">
      <c r="A197" s="143">
        <v>32118</v>
      </c>
      <c r="B197" s="149" t="s">
        <v>187</v>
      </c>
      <c r="C197" s="55">
        <v>90040</v>
      </c>
      <c r="D197" s="57">
        <v>9.322E-4</v>
      </c>
      <c r="E197" s="32"/>
      <c r="F197" s="31"/>
      <c r="G197" s="146"/>
      <c r="H197" s="25"/>
    </row>
    <row r="198" spans="1:8">
      <c r="A198" s="147">
        <v>12039</v>
      </c>
      <c r="B198" s="148" t="s">
        <v>188</v>
      </c>
      <c r="C198" s="54">
        <v>84550</v>
      </c>
      <c r="D198" s="56">
        <v>8.7540000000000003E-4</v>
      </c>
      <c r="E198" s="32"/>
      <c r="F198" s="31"/>
      <c r="G198" s="146"/>
      <c r="H198" s="25"/>
    </row>
    <row r="199" spans="1:8">
      <c r="A199" s="143">
        <v>12150</v>
      </c>
      <c r="B199" s="149" t="s">
        <v>189</v>
      </c>
      <c r="C199" s="108">
        <v>16397</v>
      </c>
      <c r="D199" s="57">
        <v>1.6980000000000001E-4</v>
      </c>
      <c r="E199" s="32"/>
      <c r="F199" s="31"/>
      <c r="G199" s="146"/>
      <c r="H199" s="25"/>
    </row>
    <row r="200" spans="1:8">
      <c r="A200" s="147">
        <v>20060</v>
      </c>
      <c r="B200" s="148" t="s">
        <v>190</v>
      </c>
      <c r="C200" s="54">
        <v>59999</v>
      </c>
      <c r="D200" s="56">
        <v>6.2120000000000003E-4</v>
      </c>
      <c r="E200" s="32"/>
      <c r="F200" s="31"/>
      <c r="G200" s="146"/>
      <c r="H200" s="25"/>
    </row>
    <row r="201" spans="1:8">
      <c r="A201" s="143">
        <v>1001</v>
      </c>
      <c r="B201" s="144" t="s">
        <v>191</v>
      </c>
      <c r="C201" s="107">
        <v>166397</v>
      </c>
      <c r="D201" s="66">
        <v>1.7228E-3</v>
      </c>
      <c r="E201" s="32"/>
      <c r="F201" s="31"/>
      <c r="G201" s="146"/>
      <c r="H201" s="25"/>
    </row>
    <row r="202" spans="1:8">
      <c r="A202" s="147">
        <v>11035</v>
      </c>
      <c r="B202" s="148" t="s">
        <v>192</v>
      </c>
      <c r="C202" s="54">
        <v>384402</v>
      </c>
      <c r="D202" s="56">
        <v>3.9798999999999998E-3</v>
      </c>
      <c r="E202" s="32"/>
      <c r="F202" s="31"/>
      <c r="G202" s="146"/>
      <c r="H202" s="25"/>
    </row>
    <row r="203" spans="1:8">
      <c r="A203" s="143">
        <v>2320</v>
      </c>
      <c r="B203" s="149" t="s">
        <v>193</v>
      </c>
      <c r="C203" s="55">
        <v>46175</v>
      </c>
      <c r="D203" s="57">
        <v>4.7810000000000002E-4</v>
      </c>
      <c r="E203" s="32"/>
      <c r="F203" s="31"/>
      <c r="G203" s="146"/>
      <c r="H203" s="25"/>
    </row>
    <row r="204" spans="1:8">
      <c r="A204" s="147">
        <v>28084</v>
      </c>
      <c r="B204" s="148" t="s">
        <v>194</v>
      </c>
      <c r="C204" s="54">
        <v>36506</v>
      </c>
      <c r="D204" s="56">
        <v>3.7800000000000003E-4</v>
      </c>
      <c r="E204" s="32"/>
      <c r="F204" s="31"/>
      <c r="G204" s="146"/>
      <c r="H204" s="25"/>
    </row>
    <row r="205" spans="1:8">
      <c r="A205" s="143">
        <v>20125</v>
      </c>
      <c r="B205" s="149" t="s">
        <v>195</v>
      </c>
      <c r="C205" s="55">
        <v>42681</v>
      </c>
      <c r="D205" s="57">
        <v>4.4190000000000001E-4</v>
      </c>
      <c r="E205" s="32"/>
      <c r="F205" s="31"/>
      <c r="G205" s="146"/>
      <c r="H205" s="25"/>
    </row>
    <row r="206" spans="1:8">
      <c r="A206" s="147">
        <v>7445</v>
      </c>
      <c r="B206" s="148" t="s">
        <v>428</v>
      </c>
      <c r="C206" s="54">
        <v>9763</v>
      </c>
      <c r="D206" s="56">
        <v>1.011E-4</v>
      </c>
      <c r="E206" s="32"/>
      <c r="F206" s="31"/>
      <c r="G206" s="146"/>
      <c r="H206" s="25"/>
    </row>
    <row r="207" spans="1:8">
      <c r="A207" s="143">
        <v>4170</v>
      </c>
      <c r="B207" s="149" t="s">
        <v>196</v>
      </c>
      <c r="C207" s="55">
        <v>2083</v>
      </c>
      <c r="D207" s="57">
        <v>2.16E-5</v>
      </c>
      <c r="E207" s="32"/>
      <c r="F207" s="31"/>
      <c r="G207" s="146"/>
      <c r="H207" s="25"/>
    </row>
    <row r="208" spans="1:8">
      <c r="A208" s="147">
        <v>9029</v>
      </c>
      <c r="B208" s="148" t="s">
        <v>197</v>
      </c>
      <c r="C208" s="54">
        <v>113313</v>
      </c>
      <c r="D208" s="56">
        <v>1.1731999999999999E-3</v>
      </c>
      <c r="E208" s="32"/>
      <c r="F208" s="31"/>
      <c r="G208" s="146"/>
      <c r="H208" s="25"/>
    </row>
    <row r="209" spans="1:8">
      <c r="A209" s="143">
        <v>2580</v>
      </c>
      <c r="B209" s="149" t="s">
        <v>198</v>
      </c>
      <c r="C209" s="55">
        <v>16413</v>
      </c>
      <c r="D209" s="57">
        <v>1.6990000000000001E-4</v>
      </c>
      <c r="E209" s="32"/>
      <c r="F209" s="31"/>
      <c r="G209" s="146"/>
      <c r="H209" s="25"/>
    </row>
    <row r="210" spans="1:8">
      <c r="A210" s="147">
        <v>20312</v>
      </c>
      <c r="B210" s="148" t="s">
        <v>199</v>
      </c>
      <c r="C210" s="54">
        <v>12425</v>
      </c>
      <c r="D210" s="56">
        <v>1.2860000000000001E-4</v>
      </c>
      <c r="E210" s="32"/>
      <c r="F210" s="31"/>
      <c r="G210" s="146"/>
      <c r="H210" s="25"/>
    </row>
    <row r="211" spans="1:8">
      <c r="A211" s="143">
        <v>26150</v>
      </c>
      <c r="B211" s="149" t="s">
        <v>200</v>
      </c>
      <c r="C211" s="55">
        <v>81891</v>
      </c>
      <c r="D211" s="57">
        <v>8.4789999999999996E-4</v>
      </c>
      <c r="E211" s="32"/>
      <c r="F211" s="31"/>
      <c r="G211" s="146"/>
      <c r="H211" s="25"/>
    </row>
    <row r="212" spans="1:8">
      <c r="A212" s="147">
        <v>5016</v>
      </c>
      <c r="B212" s="148" t="s">
        <v>201</v>
      </c>
      <c r="C212" s="54">
        <v>9495</v>
      </c>
      <c r="D212" s="56">
        <v>9.8300000000000004E-5</v>
      </c>
      <c r="E212" s="32"/>
      <c r="F212" s="31"/>
      <c r="G212" s="146"/>
      <c r="H212" s="25"/>
    </row>
    <row r="213" spans="1:8">
      <c r="A213" s="143">
        <v>6150</v>
      </c>
      <c r="B213" s="149" t="s">
        <v>202</v>
      </c>
      <c r="C213" s="55">
        <v>7878</v>
      </c>
      <c r="D213" s="57">
        <v>8.1600000000000005E-5</v>
      </c>
      <c r="E213" s="32"/>
      <c r="F213" s="31"/>
      <c r="G213" s="146"/>
      <c r="H213" s="25"/>
    </row>
    <row r="214" spans="1:8">
      <c r="A214" s="147">
        <v>4480</v>
      </c>
      <c r="B214" s="148" t="s">
        <v>203</v>
      </c>
      <c r="C214" s="54">
        <v>16182</v>
      </c>
      <c r="D214" s="56">
        <v>1.6750000000000001E-4</v>
      </c>
      <c r="E214" s="32"/>
      <c r="F214" s="31"/>
      <c r="G214" s="146"/>
      <c r="H214" s="25"/>
    </row>
    <row r="215" spans="1:8">
      <c r="A215" s="143">
        <v>28085</v>
      </c>
      <c r="B215" s="149" t="s">
        <v>204</v>
      </c>
      <c r="C215" s="55">
        <v>29914</v>
      </c>
      <c r="D215" s="57">
        <v>3.0969999999999999E-4</v>
      </c>
      <c r="E215" s="32"/>
      <c r="F215" s="31"/>
      <c r="G215" s="146"/>
      <c r="H215" s="25"/>
    </row>
    <row r="216" spans="1:8">
      <c r="A216" s="147">
        <v>3240</v>
      </c>
      <c r="B216" s="148" t="s">
        <v>205</v>
      </c>
      <c r="C216" s="54">
        <v>197860</v>
      </c>
      <c r="D216" s="56">
        <v>2.0485999999999998E-3</v>
      </c>
      <c r="E216" s="32"/>
      <c r="F216" s="31"/>
      <c r="G216" s="146"/>
      <c r="H216" s="25"/>
    </row>
    <row r="217" spans="1:8">
      <c r="A217" s="143">
        <v>12326</v>
      </c>
      <c r="B217" s="149" t="s">
        <v>206</v>
      </c>
      <c r="C217" s="55">
        <v>10558</v>
      </c>
      <c r="D217" s="57">
        <v>1.093E-4</v>
      </c>
      <c r="E217" s="32"/>
      <c r="F217" s="31"/>
      <c r="G217" s="146"/>
      <c r="H217" s="25"/>
    </row>
    <row r="218" spans="1:8">
      <c r="A218" s="147">
        <v>29123</v>
      </c>
      <c r="B218" s="148" t="s">
        <v>207</v>
      </c>
      <c r="C218" s="54">
        <v>2161643</v>
      </c>
      <c r="D218" s="56">
        <v>2.23807E-2</v>
      </c>
      <c r="E218" s="32"/>
      <c r="F218" s="31"/>
      <c r="G218" s="146"/>
      <c r="H218" s="25"/>
    </row>
    <row r="219" spans="1:8">
      <c r="A219" s="143">
        <v>2318</v>
      </c>
      <c r="B219" s="149" t="s">
        <v>208</v>
      </c>
      <c r="C219" s="55">
        <v>49200</v>
      </c>
      <c r="D219" s="57">
        <v>5.0940000000000002E-4</v>
      </c>
      <c r="E219" s="32"/>
      <c r="F219" s="31"/>
      <c r="G219" s="146"/>
      <c r="H219" s="25"/>
    </row>
    <row r="220" spans="1:8">
      <c r="A220" s="147">
        <v>3250</v>
      </c>
      <c r="B220" s="148" t="s">
        <v>209</v>
      </c>
      <c r="C220" s="54">
        <v>66235</v>
      </c>
      <c r="D220" s="56">
        <v>6.8579999999999997E-4</v>
      </c>
      <c r="E220" s="32"/>
      <c r="F220" s="31"/>
      <c r="G220" s="146"/>
      <c r="H220" s="25"/>
    </row>
    <row r="221" spans="1:8">
      <c r="A221" s="143">
        <v>2313</v>
      </c>
      <c r="B221" s="149" t="s">
        <v>210</v>
      </c>
      <c r="C221" s="55">
        <v>6799</v>
      </c>
      <c r="D221" s="57">
        <v>7.0400000000000004E-5</v>
      </c>
      <c r="E221" s="32"/>
      <c r="F221" s="31"/>
      <c r="G221" s="146"/>
      <c r="H221" s="25"/>
    </row>
    <row r="222" spans="1:8">
      <c r="A222" s="147">
        <v>4011</v>
      </c>
      <c r="B222" s="148" t="s">
        <v>211</v>
      </c>
      <c r="C222" s="54">
        <v>1224928</v>
      </c>
      <c r="D222" s="56">
        <v>1.26824E-2</v>
      </c>
      <c r="E222" s="32"/>
      <c r="F222" s="31"/>
      <c r="G222" s="146"/>
      <c r="H222" s="25"/>
    </row>
    <row r="223" spans="1:8">
      <c r="A223" s="143">
        <v>31092</v>
      </c>
      <c r="B223" s="149" t="s">
        <v>212</v>
      </c>
      <c r="C223" s="55">
        <v>19724</v>
      </c>
      <c r="D223" s="57">
        <v>2.042E-4</v>
      </c>
      <c r="E223" s="32"/>
      <c r="F223" s="31"/>
      <c r="G223" s="146"/>
      <c r="H223" s="25"/>
    </row>
    <row r="224" spans="1:8">
      <c r="A224" s="147">
        <v>26081</v>
      </c>
      <c r="B224" s="148" t="s">
        <v>213</v>
      </c>
      <c r="C224" s="54">
        <v>215339</v>
      </c>
      <c r="D224" s="56">
        <v>2.2295000000000001E-3</v>
      </c>
      <c r="E224" s="32"/>
      <c r="F224" s="31"/>
      <c r="G224" s="146"/>
      <c r="H224" s="25"/>
    </row>
    <row r="225" spans="1:8">
      <c r="A225" s="143">
        <v>29305</v>
      </c>
      <c r="B225" s="149" t="s">
        <v>214</v>
      </c>
      <c r="C225" s="55">
        <v>17507</v>
      </c>
      <c r="D225" s="57">
        <v>1.8129999999999999E-4</v>
      </c>
      <c r="E225" s="32"/>
      <c r="F225" s="31"/>
      <c r="G225" s="146"/>
      <c r="H225" s="25"/>
    </row>
    <row r="226" spans="1:8">
      <c r="A226" s="147">
        <v>10032</v>
      </c>
      <c r="B226" s="148" t="s">
        <v>215</v>
      </c>
      <c r="C226" s="54">
        <v>24774</v>
      </c>
      <c r="D226" s="56">
        <v>2.565E-4</v>
      </c>
      <c r="E226" s="32"/>
      <c r="F226" s="31"/>
      <c r="G226" s="146"/>
      <c r="H226" s="25"/>
    </row>
    <row r="227" spans="1:8">
      <c r="A227" s="143">
        <v>32107</v>
      </c>
      <c r="B227" s="149" t="s">
        <v>216</v>
      </c>
      <c r="C227" s="55">
        <v>31426</v>
      </c>
      <c r="D227" s="57">
        <v>3.2539999999999999E-4</v>
      </c>
      <c r="E227" s="32"/>
      <c r="F227" s="31"/>
      <c r="G227" s="146"/>
      <c r="H227" s="25"/>
    </row>
    <row r="228" spans="1:8">
      <c r="A228" s="147">
        <v>3260</v>
      </c>
      <c r="B228" s="148" t="s">
        <v>217</v>
      </c>
      <c r="C228" s="54">
        <v>585452</v>
      </c>
      <c r="D228" s="56">
        <v>6.0615E-3</v>
      </c>
      <c r="E228" s="32"/>
      <c r="F228" s="31"/>
      <c r="G228" s="146"/>
      <c r="H228" s="25"/>
    </row>
    <row r="229" spans="1:8">
      <c r="A229" s="143">
        <v>4390</v>
      </c>
      <c r="B229" s="149" t="s">
        <v>218</v>
      </c>
      <c r="C229" s="55">
        <v>5980</v>
      </c>
      <c r="D229" s="57">
        <v>6.19E-5</v>
      </c>
      <c r="E229" s="32"/>
      <c r="F229" s="31"/>
      <c r="G229" s="146"/>
      <c r="H229" s="25"/>
    </row>
    <row r="230" spans="1:8">
      <c r="A230" s="147">
        <v>3270</v>
      </c>
      <c r="B230" s="148" t="s">
        <v>219</v>
      </c>
      <c r="C230" s="54">
        <v>83751</v>
      </c>
      <c r="D230" s="56">
        <v>8.6709999999999999E-4</v>
      </c>
      <c r="E230" s="32"/>
      <c r="F230" s="31"/>
      <c r="G230" s="146"/>
      <c r="H230" s="25"/>
    </row>
    <row r="231" spans="1:8">
      <c r="A231" s="143">
        <v>29303</v>
      </c>
      <c r="B231" s="149" t="s">
        <v>220</v>
      </c>
      <c r="C231" s="55">
        <v>19818</v>
      </c>
      <c r="D231" s="57">
        <v>2.052E-4</v>
      </c>
      <c r="E231" s="32"/>
      <c r="F231" s="31"/>
      <c r="G231" s="146"/>
      <c r="H231" s="25"/>
    </row>
    <row r="232" spans="1:8">
      <c r="A232" s="147">
        <v>3280</v>
      </c>
      <c r="B232" s="148" t="s">
        <v>441</v>
      </c>
      <c r="C232" s="54">
        <v>411989</v>
      </c>
      <c r="D232" s="56">
        <v>4.2655999999999996E-3</v>
      </c>
      <c r="E232" s="32"/>
      <c r="F232" s="31"/>
      <c r="G232" s="146"/>
      <c r="H232" s="25"/>
    </row>
    <row r="233" spans="1:8">
      <c r="A233" s="143">
        <v>4260</v>
      </c>
      <c r="B233" s="149" t="s">
        <v>222</v>
      </c>
      <c r="C233" s="55">
        <v>30244</v>
      </c>
      <c r="D233" s="57">
        <v>3.1310000000000002E-4</v>
      </c>
      <c r="E233" s="32"/>
      <c r="F233" s="31"/>
      <c r="G233" s="146"/>
      <c r="H233" s="25"/>
    </row>
    <row r="234" spans="1:8">
      <c r="A234" s="147">
        <v>1003</v>
      </c>
      <c r="B234" s="148" t="s">
        <v>223</v>
      </c>
      <c r="C234" s="54">
        <v>422420</v>
      </c>
      <c r="D234" s="56">
        <v>4.3736000000000001E-3</v>
      </c>
      <c r="E234" s="32"/>
      <c r="F234" s="31"/>
      <c r="G234" s="146"/>
      <c r="H234" s="25"/>
    </row>
    <row r="235" spans="1:8">
      <c r="A235" s="143">
        <v>3290</v>
      </c>
      <c r="B235" s="149" t="s">
        <v>224</v>
      </c>
      <c r="C235" s="55">
        <v>899135</v>
      </c>
      <c r="D235" s="57">
        <v>9.3092999999999995E-3</v>
      </c>
      <c r="E235" s="32"/>
      <c r="F235" s="31"/>
      <c r="G235" s="146"/>
      <c r="H235" s="25"/>
    </row>
    <row r="236" spans="1:8">
      <c r="A236" s="147">
        <v>1002</v>
      </c>
      <c r="B236" s="148" t="s">
        <v>225</v>
      </c>
      <c r="C236" s="54">
        <v>1683424</v>
      </c>
      <c r="D236" s="56">
        <v>1.7429400000000001E-2</v>
      </c>
      <c r="E236" s="32"/>
      <c r="F236" s="31"/>
      <c r="G236" s="146"/>
      <c r="H236" s="25"/>
    </row>
    <row r="237" spans="1:8">
      <c r="A237" s="143">
        <v>4270</v>
      </c>
      <c r="B237" s="149" t="s">
        <v>442</v>
      </c>
      <c r="C237" s="55">
        <v>36549</v>
      </c>
      <c r="D237" s="57">
        <v>3.7839999999999998E-4</v>
      </c>
      <c r="E237" s="32"/>
      <c r="F237" s="31"/>
      <c r="G237" s="146"/>
      <c r="H237" s="25"/>
    </row>
    <row r="238" spans="1:8">
      <c r="A238" s="147">
        <v>24072</v>
      </c>
      <c r="B238" s="148" t="s">
        <v>226</v>
      </c>
      <c r="C238" s="54">
        <v>119516</v>
      </c>
      <c r="D238" s="56">
        <v>1.2374E-3</v>
      </c>
      <c r="E238" s="32"/>
      <c r="F238" s="31"/>
      <c r="G238" s="146"/>
      <c r="H238" s="25"/>
    </row>
    <row r="239" spans="1:8">
      <c r="A239" s="143">
        <v>14366</v>
      </c>
      <c r="B239" s="149" t="s">
        <v>227</v>
      </c>
      <c r="C239" s="55">
        <v>54471</v>
      </c>
      <c r="D239" s="57">
        <v>5.6400000000000005E-4</v>
      </c>
      <c r="E239" s="32"/>
      <c r="F239" s="31"/>
      <c r="G239" s="146"/>
      <c r="H239" s="25"/>
    </row>
    <row r="240" spans="1:8">
      <c r="A240" s="147">
        <v>4317</v>
      </c>
      <c r="B240" s="148" t="s">
        <v>228</v>
      </c>
      <c r="C240" s="54">
        <v>20578</v>
      </c>
      <c r="D240" s="56">
        <v>2.131E-4</v>
      </c>
      <c r="E240" s="32"/>
      <c r="F240" s="31"/>
      <c r="G240" s="146"/>
      <c r="H240" s="25"/>
    </row>
    <row r="241" spans="1:8">
      <c r="A241" s="143">
        <v>32120</v>
      </c>
      <c r="B241" s="149" t="s">
        <v>229</v>
      </c>
      <c r="C241" s="55">
        <v>24067</v>
      </c>
      <c r="D241" s="57">
        <v>2.4919999999999999E-4</v>
      </c>
      <c r="E241" s="32"/>
      <c r="F241" s="31"/>
      <c r="G241" s="146"/>
      <c r="H241" s="25"/>
    </row>
    <row r="242" spans="1:8">
      <c r="A242" s="147">
        <v>3300</v>
      </c>
      <c r="B242" s="148" t="s">
        <v>443</v>
      </c>
      <c r="C242" s="54">
        <v>58206</v>
      </c>
      <c r="D242" s="56">
        <v>6.0260000000000001E-4</v>
      </c>
      <c r="E242" s="32"/>
      <c r="F242" s="31"/>
      <c r="G242" s="146"/>
      <c r="H242" s="25"/>
    </row>
    <row r="243" spans="1:8">
      <c r="A243" s="143">
        <v>8026</v>
      </c>
      <c r="B243" s="149" t="s">
        <v>231</v>
      </c>
      <c r="C243" s="55">
        <v>327851</v>
      </c>
      <c r="D243" s="57">
        <v>3.3944000000000001E-3</v>
      </c>
      <c r="E243" s="32"/>
      <c r="F243" s="31"/>
      <c r="G243" s="146"/>
      <c r="H243" s="25"/>
    </row>
    <row r="244" spans="1:8">
      <c r="A244" s="147">
        <v>32119</v>
      </c>
      <c r="B244" s="148" t="s">
        <v>232</v>
      </c>
      <c r="C244" s="54">
        <v>11112</v>
      </c>
      <c r="D244" s="56">
        <v>1.15E-4</v>
      </c>
      <c r="E244" s="32"/>
      <c r="F244" s="31"/>
      <c r="G244" s="146"/>
      <c r="H244" s="25"/>
    </row>
    <row r="245" spans="1:8">
      <c r="A245" s="143">
        <v>25076</v>
      </c>
      <c r="B245" s="149" t="s">
        <v>233</v>
      </c>
      <c r="C245" s="55">
        <v>198060</v>
      </c>
      <c r="D245" s="57">
        <v>2.0506000000000001E-3</v>
      </c>
      <c r="E245" s="32"/>
      <c r="F245" s="31"/>
      <c r="G245" s="146"/>
      <c r="H245" s="25"/>
    </row>
    <row r="246" spans="1:8">
      <c r="A246" s="147">
        <v>2440</v>
      </c>
      <c r="B246" s="148" t="s">
        <v>413</v>
      </c>
      <c r="C246" s="54">
        <v>19351</v>
      </c>
      <c r="D246" s="56">
        <v>2.0039999999999999E-4</v>
      </c>
      <c r="E246" s="32"/>
      <c r="F246" s="31"/>
      <c r="G246" s="146"/>
      <c r="H246" s="25"/>
    </row>
    <row r="247" spans="1:8">
      <c r="A247" s="143">
        <v>2309</v>
      </c>
      <c r="B247" s="149" t="s">
        <v>234</v>
      </c>
      <c r="C247" s="55">
        <v>84420</v>
      </c>
      <c r="D247" s="57">
        <v>8.7399999999999999E-4</v>
      </c>
      <c r="E247" s="32"/>
      <c r="F247" s="31"/>
      <c r="G247" s="146"/>
      <c r="H247" s="25"/>
    </row>
    <row r="248" spans="1:8">
      <c r="A248" s="147">
        <v>2396</v>
      </c>
      <c r="B248" s="148" t="s">
        <v>235</v>
      </c>
      <c r="C248" s="54">
        <v>22420</v>
      </c>
      <c r="D248" s="56">
        <v>2.321E-4</v>
      </c>
      <c r="E248" s="32"/>
      <c r="F248" s="31"/>
      <c r="G248" s="146"/>
      <c r="H248" s="25"/>
    </row>
    <row r="249" spans="1:8">
      <c r="A249" s="143">
        <v>3380</v>
      </c>
      <c r="B249" s="144" t="s">
        <v>236</v>
      </c>
      <c r="C249" s="107">
        <v>18098</v>
      </c>
      <c r="D249" s="66">
        <v>1.874E-4</v>
      </c>
      <c r="E249" s="32"/>
      <c r="F249" s="31"/>
      <c r="G249" s="146"/>
      <c r="H249" s="25"/>
    </row>
    <row r="250" spans="1:8">
      <c r="A250" s="147">
        <v>2420</v>
      </c>
      <c r="B250" s="148" t="s">
        <v>237</v>
      </c>
      <c r="C250" s="54">
        <v>25002</v>
      </c>
      <c r="D250" s="56">
        <v>2.589E-4</v>
      </c>
      <c r="E250" s="32"/>
      <c r="F250" s="31"/>
      <c r="G250" s="146"/>
      <c r="H250" s="25"/>
    </row>
    <row r="251" spans="1:8">
      <c r="A251" s="143">
        <v>2740</v>
      </c>
      <c r="B251" s="149" t="s">
        <v>238</v>
      </c>
      <c r="C251" s="55">
        <v>4156</v>
      </c>
      <c r="D251" s="57">
        <v>4.3000000000000002E-5</v>
      </c>
      <c r="E251" s="32"/>
      <c r="F251" s="31"/>
      <c r="G251" s="146"/>
      <c r="H251" s="25"/>
    </row>
    <row r="252" spans="1:8">
      <c r="A252" s="147">
        <v>2346</v>
      </c>
      <c r="B252" s="148" t="s">
        <v>239</v>
      </c>
      <c r="C252" s="54">
        <v>17818</v>
      </c>
      <c r="D252" s="56">
        <v>1.8450000000000001E-4</v>
      </c>
      <c r="E252" s="32"/>
      <c r="F252" s="31"/>
      <c r="G252" s="146"/>
      <c r="H252" s="25"/>
    </row>
    <row r="253" spans="1:8">
      <c r="A253" s="143">
        <v>21150</v>
      </c>
      <c r="B253" s="149" t="s">
        <v>240</v>
      </c>
      <c r="C253" s="55">
        <v>44391</v>
      </c>
      <c r="D253" s="57">
        <v>4.596E-4</v>
      </c>
      <c r="E253" s="32"/>
      <c r="F253" s="31"/>
      <c r="G253" s="146"/>
      <c r="H253" s="25"/>
    </row>
    <row r="254" spans="1:8">
      <c r="A254" s="147">
        <v>32098</v>
      </c>
      <c r="B254" s="148" t="s">
        <v>241</v>
      </c>
      <c r="C254" s="54">
        <v>21936</v>
      </c>
      <c r="D254" s="56">
        <v>2.2709999999999999E-4</v>
      </c>
      <c r="E254" s="32"/>
      <c r="F254" s="31"/>
      <c r="G254" s="146"/>
      <c r="H254" s="25"/>
    </row>
    <row r="255" spans="1:8">
      <c r="A255" s="143">
        <v>4520</v>
      </c>
      <c r="B255" s="149" t="s">
        <v>242</v>
      </c>
      <c r="C255" s="55">
        <v>2954</v>
      </c>
      <c r="D255" s="57">
        <v>3.0599999999999998E-5</v>
      </c>
      <c r="E255" s="32"/>
      <c r="F255" s="31"/>
      <c r="G255" s="146"/>
      <c r="H255" s="25"/>
    </row>
    <row r="256" spans="1:8">
      <c r="A256" s="147">
        <v>9030</v>
      </c>
      <c r="B256" s="148" t="s">
        <v>243</v>
      </c>
      <c r="C256" s="54">
        <v>28339</v>
      </c>
      <c r="D256" s="56">
        <v>2.9339999999999998E-4</v>
      </c>
      <c r="E256" s="32"/>
      <c r="F256" s="31"/>
      <c r="G256" s="146"/>
      <c r="H256" s="25"/>
    </row>
    <row r="257" spans="1:8">
      <c r="A257" s="143">
        <v>20265</v>
      </c>
      <c r="B257" s="149" t="s">
        <v>244</v>
      </c>
      <c r="C257" s="108">
        <v>26657</v>
      </c>
      <c r="D257" s="57">
        <v>2.7599999999999999E-4</v>
      </c>
      <c r="E257" s="32"/>
      <c r="F257" s="31"/>
      <c r="G257" s="146"/>
      <c r="H257" s="25"/>
    </row>
    <row r="258" spans="1:8">
      <c r="A258" s="147">
        <v>20307</v>
      </c>
      <c r="B258" s="148" t="s">
        <v>245</v>
      </c>
      <c r="C258" s="54">
        <v>26082</v>
      </c>
      <c r="D258" s="56">
        <v>2.7E-4</v>
      </c>
      <c r="E258" s="32"/>
      <c r="F258" s="31"/>
      <c r="G258" s="146"/>
      <c r="H258" s="25"/>
    </row>
    <row r="259" spans="1:8">
      <c r="A259" s="143">
        <v>3320</v>
      </c>
      <c r="B259" s="149" t="s">
        <v>246</v>
      </c>
      <c r="C259" s="55">
        <v>193515</v>
      </c>
      <c r="D259" s="57">
        <v>2.0035999999999999E-3</v>
      </c>
      <c r="E259" s="32"/>
      <c r="F259" s="31"/>
      <c r="G259" s="146"/>
      <c r="H259" s="25"/>
    </row>
    <row r="260" spans="1:8">
      <c r="A260" s="147">
        <v>20415</v>
      </c>
      <c r="B260" s="148" t="s">
        <v>247</v>
      </c>
      <c r="C260" s="54">
        <v>18052</v>
      </c>
      <c r="D260" s="56">
        <v>1.8689999999999999E-4</v>
      </c>
      <c r="E260" s="32"/>
      <c r="F260" s="31"/>
      <c r="G260" s="146"/>
      <c r="H260" s="25"/>
    </row>
    <row r="261" spans="1:8">
      <c r="A261" s="143">
        <v>20435</v>
      </c>
      <c r="B261" s="149" t="s">
        <v>435</v>
      </c>
      <c r="C261" s="55">
        <v>22058</v>
      </c>
      <c r="D261" s="57">
        <v>2.284E-4</v>
      </c>
      <c r="E261" s="32"/>
      <c r="F261" s="31"/>
      <c r="G261" s="146"/>
      <c r="H261" s="25"/>
    </row>
    <row r="262" spans="1:8">
      <c r="A262" s="147">
        <v>20062</v>
      </c>
      <c r="B262" s="148" t="s">
        <v>248</v>
      </c>
      <c r="C262" s="54">
        <v>302965</v>
      </c>
      <c r="D262" s="56">
        <v>3.1367999999999999E-3</v>
      </c>
      <c r="E262" s="32"/>
      <c r="F262" s="31"/>
      <c r="G262" s="146"/>
      <c r="H262" s="25"/>
    </row>
    <row r="263" spans="1:8">
      <c r="A263" s="143">
        <v>6020</v>
      </c>
      <c r="B263" s="149" t="s">
        <v>249</v>
      </c>
      <c r="C263" s="55">
        <v>57350</v>
      </c>
      <c r="D263" s="57">
        <v>5.9380000000000001E-4</v>
      </c>
      <c r="E263" s="32"/>
      <c r="F263" s="31"/>
      <c r="G263" s="146"/>
      <c r="H263" s="25"/>
    </row>
    <row r="264" spans="1:8">
      <c r="A264" s="147">
        <v>2394</v>
      </c>
      <c r="B264" s="148" t="s">
        <v>250</v>
      </c>
      <c r="C264" s="54">
        <v>30049</v>
      </c>
      <c r="D264" s="56">
        <v>3.1110000000000003E-4</v>
      </c>
      <c r="E264" s="32"/>
      <c r="F264" s="31"/>
      <c r="G264" s="146"/>
      <c r="H264" s="25"/>
    </row>
    <row r="265" spans="1:8">
      <c r="A265" s="143">
        <v>5015</v>
      </c>
      <c r="B265" s="149" t="s">
        <v>251</v>
      </c>
      <c r="C265" s="55">
        <v>81594</v>
      </c>
      <c r="D265" s="57">
        <v>8.4480000000000004E-4</v>
      </c>
      <c r="E265" s="32"/>
      <c r="F265" s="31"/>
      <c r="G265" s="146"/>
      <c r="H265" s="25"/>
    </row>
    <row r="266" spans="1:8">
      <c r="A266" s="147">
        <v>29408</v>
      </c>
      <c r="B266" s="148" t="s">
        <v>252</v>
      </c>
      <c r="C266" s="54">
        <v>54307</v>
      </c>
      <c r="D266" s="56">
        <v>5.6229999999999995E-4</v>
      </c>
      <c r="E266" s="32"/>
      <c r="F266" s="31"/>
      <c r="G266" s="146"/>
      <c r="H266" s="25"/>
    </row>
    <row r="267" spans="1:8">
      <c r="A267" s="143">
        <v>2413</v>
      </c>
      <c r="B267" s="149" t="s">
        <v>253</v>
      </c>
      <c r="C267" s="55">
        <v>13973</v>
      </c>
      <c r="D267" s="57">
        <v>1.4469999999999999E-4</v>
      </c>
      <c r="E267" s="32"/>
      <c r="F267" s="31"/>
      <c r="G267" s="146"/>
      <c r="H267" s="25"/>
    </row>
    <row r="268" spans="1:8">
      <c r="A268" s="147">
        <v>1398</v>
      </c>
      <c r="B268" s="148" t="s">
        <v>254</v>
      </c>
      <c r="C268" s="54">
        <v>25180</v>
      </c>
      <c r="D268" s="56">
        <v>2.6069999999999999E-4</v>
      </c>
      <c r="E268" s="32"/>
      <c r="F268" s="31"/>
      <c r="G268" s="146"/>
      <c r="H268" s="25"/>
    </row>
    <row r="269" spans="1:8">
      <c r="A269" s="143">
        <v>2366</v>
      </c>
      <c r="B269" s="149" t="s">
        <v>255</v>
      </c>
      <c r="C269" s="55">
        <v>26506</v>
      </c>
      <c r="D269" s="57">
        <v>2.744E-4</v>
      </c>
      <c r="E269" s="32"/>
      <c r="F269" s="31"/>
      <c r="G269" s="146"/>
      <c r="H269" s="25"/>
    </row>
    <row r="270" spans="1:8">
      <c r="A270" s="147">
        <v>7421</v>
      </c>
      <c r="B270" s="148" t="s">
        <v>256</v>
      </c>
      <c r="C270" s="54">
        <v>20444</v>
      </c>
      <c r="D270" s="56">
        <v>2.117E-4</v>
      </c>
      <c r="E270" s="32"/>
      <c r="F270" s="31"/>
      <c r="G270" s="146"/>
      <c r="H270" s="25"/>
    </row>
    <row r="271" spans="1:8">
      <c r="A271" s="143">
        <v>2370</v>
      </c>
      <c r="B271" s="149" t="s">
        <v>257</v>
      </c>
      <c r="C271" s="55">
        <v>38771</v>
      </c>
      <c r="D271" s="57">
        <v>4.014E-4</v>
      </c>
      <c r="E271" s="32"/>
      <c r="F271" s="31"/>
      <c r="G271" s="146"/>
      <c r="H271" s="25"/>
    </row>
    <row r="272" spans="1:8">
      <c r="A272" s="147">
        <v>32094</v>
      </c>
      <c r="B272" s="148" t="s">
        <v>258</v>
      </c>
      <c r="C272" s="54">
        <v>39514</v>
      </c>
      <c r="D272" s="56">
        <v>4.0910000000000002E-4</v>
      </c>
      <c r="E272" s="32"/>
      <c r="F272" s="31"/>
      <c r="G272" s="146"/>
      <c r="H272" s="25"/>
    </row>
    <row r="273" spans="1:8">
      <c r="A273" s="143">
        <v>2790</v>
      </c>
      <c r="B273" s="149" t="s">
        <v>259</v>
      </c>
      <c r="C273" s="55">
        <v>4377</v>
      </c>
      <c r="D273" s="57">
        <v>4.5300000000000003E-5</v>
      </c>
      <c r="E273" s="32"/>
      <c r="F273" s="31"/>
      <c r="G273" s="146"/>
      <c r="H273" s="25"/>
    </row>
    <row r="274" spans="1:8">
      <c r="A274" s="147">
        <v>3330</v>
      </c>
      <c r="B274" s="148" t="s">
        <v>260</v>
      </c>
      <c r="C274" s="54">
        <v>87672</v>
      </c>
      <c r="D274" s="56">
        <v>9.077E-4</v>
      </c>
      <c r="E274" s="32"/>
      <c r="F274" s="31"/>
      <c r="G274" s="146"/>
      <c r="H274" s="25"/>
    </row>
    <row r="275" spans="1:8">
      <c r="A275" s="143">
        <v>2080</v>
      </c>
      <c r="B275" s="149" t="s">
        <v>261</v>
      </c>
      <c r="C275" s="55">
        <v>100031</v>
      </c>
      <c r="D275" s="57">
        <v>1.0357000000000001E-3</v>
      </c>
      <c r="E275" s="32"/>
      <c r="F275" s="31"/>
      <c r="G275" s="146"/>
      <c r="H275" s="25"/>
    </row>
    <row r="276" spans="1:8">
      <c r="A276" s="147">
        <v>4290</v>
      </c>
      <c r="B276" s="148" t="s">
        <v>262</v>
      </c>
      <c r="C276" s="54">
        <v>32929</v>
      </c>
      <c r="D276" s="56">
        <v>3.4089999999999999E-4</v>
      </c>
      <c r="E276" s="32"/>
      <c r="F276" s="31"/>
      <c r="G276" s="146"/>
      <c r="H276" s="25"/>
    </row>
    <row r="277" spans="1:8">
      <c r="A277" s="143">
        <v>2270</v>
      </c>
      <c r="B277" s="149" t="s">
        <v>263</v>
      </c>
      <c r="C277" s="55">
        <v>1877</v>
      </c>
      <c r="D277" s="57">
        <v>1.9400000000000001E-5</v>
      </c>
      <c r="E277" s="32"/>
      <c r="F277" s="31"/>
      <c r="G277" s="146"/>
      <c r="H277" s="25"/>
    </row>
    <row r="278" spans="1:8">
      <c r="A278" s="147">
        <v>2300</v>
      </c>
      <c r="B278" s="148" t="s">
        <v>264</v>
      </c>
      <c r="C278" s="54">
        <v>8833</v>
      </c>
      <c r="D278" s="56">
        <v>9.1500000000000001E-5</v>
      </c>
      <c r="E278" s="32"/>
      <c r="F278" s="31"/>
      <c r="G278" s="146"/>
      <c r="H278" s="25"/>
    </row>
    <row r="279" spans="1:8">
      <c r="A279" s="143">
        <v>2720</v>
      </c>
      <c r="B279" s="149" t="s">
        <v>265</v>
      </c>
      <c r="C279" s="55">
        <v>130272</v>
      </c>
      <c r="D279" s="57">
        <v>1.3488E-3</v>
      </c>
      <c r="E279" s="32"/>
      <c r="F279" s="31"/>
      <c r="G279" s="146"/>
      <c r="H279" s="25"/>
    </row>
    <row r="280" spans="1:8">
      <c r="A280" s="147">
        <v>2750</v>
      </c>
      <c r="B280" s="148" t="s">
        <v>266</v>
      </c>
      <c r="C280" s="54">
        <v>8565</v>
      </c>
      <c r="D280" s="56">
        <v>8.8700000000000001E-5</v>
      </c>
      <c r="E280" s="32"/>
      <c r="F280" s="31"/>
      <c r="G280" s="146"/>
      <c r="H280" s="25"/>
    </row>
    <row r="281" spans="1:8">
      <c r="A281" s="143">
        <v>2770</v>
      </c>
      <c r="B281" s="149" t="s">
        <v>267</v>
      </c>
      <c r="C281" s="55">
        <v>100243</v>
      </c>
      <c r="D281" s="57">
        <v>1.0379E-3</v>
      </c>
      <c r="E281" s="32"/>
      <c r="F281" s="31"/>
      <c r="G281" s="146"/>
      <c r="H281" s="25"/>
    </row>
    <row r="282" spans="1:8">
      <c r="A282" s="147">
        <v>32106</v>
      </c>
      <c r="B282" s="148" t="s">
        <v>268</v>
      </c>
      <c r="C282" s="54">
        <v>15491</v>
      </c>
      <c r="D282" s="56">
        <v>1.604E-4</v>
      </c>
      <c r="E282" s="32"/>
      <c r="F282" s="31"/>
      <c r="G282" s="146"/>
      <c r="H282" s="25"/>
    </row>
    <row r="283" spans="1:8">
      <c r="A283" s="143">
        <v>4180</v>
      </c>
      <c r="B283" s="149" t="s">
        <v>269</v>
      </c>
      <c r="C283" s="55">
        <v>15224</v>
      </c>
      <c r="D283" s="57">
        <v>1.5760000000000001E-4</v>
      </c>
      <c r="E283" s="32"/>
      <c r="F283" s="31"/>
      <c r="G283" s="146"/>
      <c r="H283" s="25"/>
    </row>
    <row r="284" spans="1:8">
      <c r="A284" s="147">
        <v>21063</v>
      </c>
      <c r="B284" s="148" t="s">
        <v>270</v>
      </c>
      <c r="C284" s="54">
        <v>180687</v>
      </c>
      <c r="D284" s="56">
        <v>1.8707999999999999E-3</v>
      </c>
      <c r="E284" s="32"/>
      <c r="F284" s="31"/>
      <c r="G284" s="146"/>
      <c r="H284" s="25"/>
    </row>
    <row r="285" spans="1:8">
      <c r="A285" s="143">
        <v>10033</v>
      </c>
      <c r="B285" s="149" t="s">
        <v>271</v>
      </c>
      <c r="C285" s="55">
        <v>128026</v>
      </c>
      <c r="D285" s="57">
        <v>1.3255000000000001E-3</v>
      </c>
      <c r="E285" s="32"/>
      <c r="F285" s="31"/>
      <c r="G285" s="146"/>
      <c r="H285" s="25"/>
    </row>
    <row r="286" spans="1:8">
      <c r="A286" s="147">
        <v>15049</v>
      </c>
      <c r="B286" s="148" t="s">
        <v>272</v>
      </c>
      <c r="C286" s="54">
        <v>127740</v>
      </c>
      <c r="D286" s="56">
        <v>1.3225999999999999E-3</v>
      </c>
      <c r="E286" s="32"/>
      <c r="F286" s="31"/>
      <c r="G286" s="146"/>
      <c r="H286" s="25"/>
    </row>
    <row r="287" spans="1:8">
      <c r="A287" s="143">
        <v>1315</v>
      </c>
      <c r="B287" s="149" t="s">
        <v>273</v>
      </c>
      <c r="C287" s="55">
        <v>73963</v>
      </c>
      <c r="D287" s="57">
        <v>7.6579999999999997E-4</v>
      </c>
      <c r="E287" s="32"/>
      <c r="F287" s="31"/>
      <c r="G287" s="146"/>
      <c r="H287" s="25"/>
    </row>
    <row r="288" spans="1:8">
      <c r="A288" s="147">
        <v>3340</v>
      </c>
      <c r="B288" s="148" t="s">
        <v>274</v>
      </c>
      <c r="C288" s="54">
        <v>33043</v>
      </c>
      <c r="D288" s="56">
        <v>3.4210000000000002E-4</v>
      </c>
      <c r="E288" s="32"/>
      <c r="F288" s="31"/>
      <c r="G288" s="146"/>
      <c r="H288" s="25"/>
    </row>
    <row r="289" spans="1:8">
      <c r="A289" s="143">
        <v>3350</v>
      </c>
      <c r="B289" s="149" t="s">
        <v>275</v>
      </c>
      <c r="C289" s="55">
        <v>164430</v>
      </c>
      <c r="D289" s="57">
        <v>1.7024E-3</v>
      </c>
      <c r="E289" s="32"/>
      <c r="F289" s="31"/>
      <c r="G289" s="146"/>
      <c r="H289" s="25"/>
    </row>
    <row r="290" spans="1:8">
      <c r="A290" s="147">
        <v>24073</v>
      </c>
      <c r="B290" s="148" t="s">
        <v>276</v>
      </c>
      <c r="C290" s="54">
        <v>23011</v>
      </c>
      <c r="D290" s="56">
        <v>2.3819999999999999E-4</v>
      </c>
      <c r="E290" s="32"/>
      <c r="F290" s="31"/>
      <c r="G290" s="146"/>
      <c r="H290" s="25"/>
    </row>
    <row r="291" spans="1:8">
      <c r="A291" s="143">
        <v>2100</v>
      </c>
      <c r="B291" s="149" t="s">
        <v>277</v>
      </c>
      <c r="C291" s="55">
        <v>27903</v>
      </c>
      <c r="D291" s="57">
        <v>2.8889999999999997E-4</v>
      </c>
      <c r="E291" s="32"/>
      <c r="F291" s="31"/>
      <c r="G291" s="146"/>
      <c r="H291" s="25"/>
    </row>
    <row r="292" spans="1:8">
      <c r="A292" s="147">
        <v>2130</v>
      </c>
      <c r="B292" s="148" t="s">
        <v>278</v>
      </c>
      <c r="C292" s="54">
        <v>9169</v>
      </c>
      <c r="D292" s="56">
        <v>9.4900000000000003E-5</v>
      </c>
      <c r="E292" s="32"/>
      <c r="F292" s="31"/>
      <c r="G292" s="146"/>
      <c r="H292" s="25"/>
    </row>
    <row r="293" spans="1:8">
      <c r="A293" s="143">
        <v>32099</v>
      </c>
      <c r="B293" s="149" t="s">
        <v>279</v>
      </c>
      <c r="C293" s="55">
        <v>9191</v>
      </c>
      <c r="D293" s="57">
        <v>9.5199999999999997E-5</v>
      </c>
      <c r="E293" s="32"/>
      <c r="F293" s="31"/>
      <c r="G293" s="146"/>
      <c r="H293" s="25"/>
    </row>
    <row r="294" spans="1:8">
      <c r="A294" s="147">
        <v>32100</v>
      </c>
      <c r="B294" s="148" t="s">
        <v>280</v>
      </c>
      <c r="C294" s="54">
        <v>20382</v>
      </c>
      <c r="D294" s="56">
        <v>2.1100000000000001E-4</v>
      </c>
      <c r="E294" s="32"/>
      <c r="F294" s="31"/>
      <c r="G294" s="146"/>
      <c r="H294" s="25"/>
    </row>
    <row r="295" spans="1:8">
      <c r="A295" s="143">
        <v>32101</v>
      </c>
      <c r="B295" s="149" t="s">
        <v>281</v>
      </c>
      <c r="C295" s="55">
        <v>1001</v>
      </c>
      <c r="D295" s="57">
        <v>1.04E-5</v>
      </c>
      <c r="E295" s="32"/>
      <c r="F295" s="31"/>
      <c r="G295" s="146"/>
      <c r="H295" s="25"/>
    </row>
    <row r="296" spans="1:8">
      <c r="A296" s="147">
        <v>32102</v>
      </c>
      <c r="B296" s="148" t="s">
        <v>282</v>
      </c>
      <c r="C296" s="54">
        <v>12132</v>
      </c>
      <c r="D296" s="56">
        <v>1.2559999999999999E-4</v>
      </c>
      <c r="E296" s="32"/>
      <c r="F296" s="31"/>
      <c r="G296" s="146"/>
      <c r="H296" s="25"/>
    </row>
    <row r="297" spans="1:8">
      <c r="A297" s="143">
        <v>2880</v>
      </c>
      <c r="B297" s="144" t="s">
        <v>283</v>
      </c>
      <c r="C297" s="107">
        <v>4104</v>
      </c>
      <c r="D297" s="66">
        <v>4.2500000000000003E-5</v>
      </c>
      <c r="E297" s="32"/>
      <c r="F297" s="31"/>
      <c r="G297" s="146"/>
      <c r="H297" s="25"/>
    </row>
    <row r="298" spans="1:8">
      <c r="A298" s="147">
        <v>2490</v>
      </c>
      <c r="B298" s="148" t="s">
        <v>284</v>
      </c>
      <c r="C298" s="54">
        <v>27291</v>
      </c>
      <c r="D298" s="56">
        <v>2.8259999999999998E-4</v>
      </c>
      <c r="E298" s="32"/>
      <c r="F298" s="31"/>
      <c r="G298" s="146"/>
      <c r="H298" s="25"/>
    </row>
    <row r="299" spans="1:8">
      <c r="A299" s="143">
        <v>2530</v>
      </c>
      <c r="B299" s="149" t="s">
        <v>285</v>
      </c>
      <c r="C299" s="55">
        <v>2948</v>
      </c>
      <c r="D299" s="57">
        <v>3.0499999999999999E-5</v>
      </c>
      <c r="E299" s="32"/>
      <c r="F299" s="31"/>
      <c r="G299" s="146"/>
      <c r="H299" s="25"/>
    </row>
    <row r="300" spans="1:8">
      <c r="A300" s="147">
        <v>2560</v>
      </c>
      <c r="B300" s="148" t="s">
        <v>286</v>
      </c>
      <c r="C300" s="54">
        <v>8741</v>
      </c>
      <c r="D300" s="56">
        <v>9.0500000000000004E-5</v>
      </c>
      <c r="E300" s="32"/>
      <c r="F300" s="31"/>
      <c r="G300" s="146"/>
      <c r="H300" s="25"/>
    </row>
    <row r="301" spans="1:8">
      <c r="A301" s="143">
        <v>2610</v>
      </c>
      <c r="B301" s="149" t="s">
        <v>287</v>
      </c>
      <c r="C301" s="55">
        <v>3352</v>
      </c>
      <c r="D301" s="57">
        <v>3.4700000000000003E-5</v>
      </c>
      <c r="E301" s="32"/>
      <c r="F301" s="31"/>
      <c r="G301" s="146"/>
      <c r="H301" s="25"/>
    </row>
    <row r="302" spans="1:8">
      <c r="A302" s="147">
        <v>2800</v>
      </c>
      <c r="B302" s="148" t="s">
        <v>288</v>
      </c>
      <c r="C302" s="54">
        <v>8476</v>
      </c>
      <c r="D302" s="56">
        <v>8.7800000000000006E-5</v>
      </c>
      <c r="E302" s="32"/>
      <c r="F302" s="31"/>
      <c r="G302" s="146"/>
      <c r="H302" s="25"/>
    </row>
    <row r="303" spans="1:8">
      <c r="A303" s="143">
        <v>20317</v>
      </c>
      <c r="B303" s="149" t="s">
        <v>289</v>
      </c>
      <c r="C303" s="55">
        <v>14060</v>
      </c>
      <c r="D303" s="57">
        <v>1.4559999999999999E-4</v>
      </c>
      <c r="E303" s="32"/>
      <c r="F303" s="31"/>
      <c r="G303" s="146"/>
      <c r="H303" s="25"/>
    </row>
    <row r="304" spans="1:8">
      <c r="A304" s="147">
        <v>2442</v>
      </c>
      <c r="B304" s="148" t="s">
        <v>444</v>
      </c>
      <c r="C304" s="54">
        <v>1617</v>
      </c>
      <c r="D304" s="56">
        <v>1.6699999999999999E-5</v>
      </c>
      <c r="E304" s="32"/>
      <c r="F304" s="31"/>
      <c r="G304" s="146"/>
      <c r="H304" s="25"/>
    </row>
    <row r="305" spans="1:8">
      <c r="A305" s="143">
        <v>30090</v>
      </c>
      <c r="B305" s="149" t="s">
        <v>290</v>
      </c>
      <c r="C305" s="55">
        <v>31021</v>
      </c>
      <c r="D305" s="57">
        <v>3.212E-4</v>
      </c>
      <c r="E305" s="32"/>
      <c r="F305" s="31"/>
      <c r="G305" s="146"/>
      <c r="H305" s="25"/>
    </row>
    <row r="306" spans="1:8">
      <c r="A306" s="147">
        <v>29330</v>
      </c>
      <c r="B306" s="148" t="s">
        <v>291</v>
      </c>
      <c r="C306" s="54">
        <v>11028</v>
      </c>
      <c r="D306" s="56">
        <v>1.142E-4</v>
      </c>
      <c r="E306" s="32"/>
      <c r="F306" s="31"/>
      <c r="G306" s="146"/>
      <c r="H306" s="25"/>
    </row>
    <row r="307" spans="1:8">
      <c r="A307" s="143">
        <v>12038</v>
      </c>
      <c r="B307" s="149" t="s">
        <v>292</v>
      </c>
      <c r="C307" s="55">
        <v>240592</v>
      </c>
      <c r="D307" s="57">
        <v>2.4910000000000002E-3</v>
      </c>
      <c r="E307" s="32"/>
      <c r="F307" s="31"/>
      <c r="G307" s="146"/>
      <c r="H307" s="25"/>
    </row>
    <row r="308" spans="1:8">
      <c r="A308" s="147">
        <v>8099</v>
      </c>
      <c r="B308" s="148" t="s">
        <v>293</v>
      </c>
      <c r="C308" s="54">
        <v>377862</v>
      </c>
      <c r="D308" s="56">
        <v>3.9122000000000002E-3</v>
      </c>
      <c r="E308" s="32"/>
      <c r="F308" s="31"/>
      <c r="G308" s="146"/>
      <c r="H308" s="25"/>
    </row>
    <row r="309" spans="1:8">
      <c r="A309" s="143">
        <v>2417</v>
      </c>
      <c r="B309" s="149" t="s">
        <v>294</v>
      </c>
      <c r="C309" s="55">
        <v>8103</v>
      </c>
      <c r="D309" s="57">
        <v>8.3900000000000006E-5</v>
      </c>
      <c r="E309" s="32"/>
      <c r="F309" s="31"/>
      <c r="G309" s="146"/>
      <c r="H309" s="25"/>
    </row>
    <row r="310" spans="1:8">
      <c r="A310" s="147">
        <v>13142</v>
      </c>
      <c r="B310" s="148" t="s">
        <v>295</v>
      </c>
      <c r="C310" s="49">
        <v>224847</v>
      </c>
      <c r="D310" s="48">
        <v>2.3280000000000002E-3</v>
      </c>
      <c r="E310" s="32"/>
      <c r="F310" s="31"/>
      <c r="G310" s="146"/>
      <c r="H310" s="25"/>
    </row>
    <row r="311" spans="1:8">
      <c r="A311" s="152"/>
      <c r="B311" s="62"/>
      <c r="C311" s="89"/>
      <c r="D311" s="58"/>
    </row>
    <row r="312" spans="1:8" ht="13.5" thickBot="1">
      <c r="A312" s="152"/>
      <c r="B312" s="153"/>
      <c r="C312" s="79">
        <f>SUM(C9:C311)</f>
        <v>96585103</v>
      </c>
      <c r="D312" s="59">
        <f>SUM(D9:D311)</f>
        <v>1</v>
      </c>
    </row>
  </sheetData>
  <pageMargins left="0.7" right="0.7" top="0.5" bottom="0.5" header="0.25" footer="0.25"/>
  <pageSetup scale="82" firstPageNumber="3" fitToHeight="0" orientation="portrait" useFirstPageNumber="1" r:id="rId1"/>
  <headerFooter differentOddEven="1">
    <oddFooter>&amp;R&amp;"Arial,Regular"&amp;10&amp;P</oddFooter>
    <evenHeader xml:space="preserve">&amp;L&amp;"Arial,Bold"&amp;12
</evenHeader>
    <evenFooter>&amp;R&amp;"Arial,Regular"&amp;10&amp;P</evenFooter>
  </headerFooter>
  <rowBreaks count="5" manualBreakCount="5">
    <brk id="69" max="3" man="1"/>
    <brk id="130" max="3" man="1"/>
    <brk id="191" max="3" man="1"/>
    <brk id="252" max="3" man="1"/>
    <brk id="310" max="3" man="1"/>
  </rowBreaks>
  <colBreaks count="1" manualBreakCount="1">
    <brk id="2" max="31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6F78-D102-4FC7-84D4-2092DB653E10}">
  <sheetPr>
    <tabColor rgb="FF92D050"/>
  </sheetPr>
  <dimension ref="A3:D17"/>
  <sheetViews>
    <sheetView workbookViewId="0">
      <selection activeCell="A234" sqref="A234:XFD234"/>
    </sheetView>
  </sheetViews>
  <sheetFormatPr defaultColWidth="8.7109375" defaultRowHeight="15"/>
  <cols>
    <col min="1" max="1" width="3.28515625" style="132" customWidth="1"/>
    <col min="2" max="2" width="33.42578125" style="132" bestFit="1" customWidth="1"/>
    <col min="3" max="3" width="10.7109375" style="132" customWidth="1"/>
    <col min="4" max="4" width="10.28515625" style="132" customWidth="1"/>
    <col min="5" max="16384" width="8.7109375" style="132"/>
  </cols>
  <sheetData>
    <row r="3" spans="1:4">
      <c r="A3" s="218" t="s">
        <v>569</v>
      </c>
      <c r="B3" s="219"/>
      <c r="C3" s="219"/>
      <c r="D3" s="220"/>
    </row>
    <row r="4" spans="1:4">
      <c r="A4" s="219"/>
      <c r="B4" s="14" t="s">
        <v>570</v>
      </c>
      <c r="C4" s="219"/>
      <c r="D4" s="221">
        <v>53092</v>
      </c>
    </row>
    <row r="5" spans="1:4">
      <c r="A5" s="219"/>
      <c r="B5" s="14" t="s">
        <v>571</v>
      </c>
      <c r="C5" s="219"/>
      <c r="D5" s="221">
        <v>11759</v>
      </c>
    </row>
    <row r="6" spans="1:4">
      <c r="A6" s="219"/>
      <c r="B6" s="14" t="s">
        <v>572</v>
      </c>
      <c r="C6" s="219"/>
      <c r="D6" s="222">
        <v>92520</v>
      </c>
    </row>
    <row r="7" spans="1:4" ht="15.75" thickBot="1">
      <c r="A7" s="219"/>
      <c r="B7" s="219"/>
      <c r="C7" s="219"/>
      <c r="D7" s="223">
        <f>SUM(D4:D6)</f>
        <v>157371</v>
      </c>
    </row>
    <row r="8" spans="1:4" ht="15.75" thickTop="1"/>
    <row r="9" spans="1:4">
      <c r="A9" s="224" t="s">
        <v>573</v>
      </c>
      <c r="B9" s="219"/>
      <c r="C9" s="219"/>
      <c r="D9" s="225"/>
    </row>
    <row r="10" spans="1:4">
      <c r="A10" s="219"/>
      <c r="B10" s="14" t="s">
        <v>574</v>
      </c>
      <c r="C10" s="219"/>
      <c r="D10" s="221">
        <v>18691</v>
      </c>
    </row>
    <row r="11" spans="1:4">
      <c r="A11" s="219"/>
      <c r="B11" s="14" t="s">
        <v>575</v>
      </c>
      <c r="C11" s="219"/>
      <c r="D11" s="221">
        <v>1919</v>
      </c>
    </row>
    <row r="12" spans="1:4">
      <c r="A12" s="219"/>
      <c r="B12" s="14" t="s">
        <v>576</v>
      </c>
      <c r="C12" s="219"/>
      <c r="D12" s="221">
        <v>20357</v>
      </c>
    </row>
    <row r="13" spans="1:4">
      <c r="A13" s="219"/>
      <c r="B13" s="14" t="s">
        <v>577</v>
      </c>
      <c r="C13" s="219"/>
      <c r="D13" s="221">
        <v>1573</v>
      </c>
    </row>
    <row r="14" spans="1:4">
      <c r="A14" s="219"/>
      <c r="B14" s="14" t="s">
        <v>578</v>
      </c>
      <c r="C14" s="219"/>
      <c r="D14" s="221">
        <v>756</v>
      </c>
    </row>
    <row r="15" spans="1:4">
      <c r="A15" s="219"/>
      <c r="B15" s="14" t="s">
        <v>579</v>
      </c>
      <c r="C15" s="219"/>
      <c r="D15" s="222">
        <f>49188+36</f>
        <v>49224</v>
      </c>
    </row>
    <row r="16" spans="1:4" ht="15.75" thickBot="1">
      <c r="A16" s="219"/>
      <c r="B16" s="219"/>
      <c r="C16" s="219"/>
      <c r="D16" s="223">
        <f>SUM(D10:D15)</f>
        <v>92520</v>
      </c>
    </row>
    <row r="17" ht="15.75" thickTop="1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B575-5370-4AB5-B7FF-4097A56CEF23}">
  <sheetPr>
    <tabColor rgb="FF92D050"/>
  </sheetPr>
  <dimension ref="A2:E24"/>
  <sheetViews>
    <sheetView workbookViewId="0">
      <selection activeCell="A234" sqref="A234:XFD234"/>
    </sheetView>
  </sheetViews>
  <sheetFormatPr defaultColWidth="8.7109375" defaultRowHeight="15"/>
  <cols>
    <col min="1" max="3" width="2.5703125" style="132" customWidth="1"/>
    <col min="4" max="4" width="25.7109375" style="132" customWidth="1"/>
    <col min="5" max="5" width="52.28515625" style="132" customWidth="1"/>
    <col min="6" max="16384" width="8.7109375" style="132"/>
  </cols>
  <sheetData>
    <row r="2" spans="1:5">
      <c r="A2" s="62" t="s">
        <v>427</v>
      </c>
      <c r="E2" s="37" t="s">
        <v>449</v>
      </c>
    </row>
    <row r="4" spans="1:5">
      <c r="A4" s="10" t="s">
        <v>335</v>
      </c>
      <c r="B4" s="10"/>
      <c r="C4" s="10"/>
      <c r="D4" s="9"/>
      <c r="E4" s="226" t="s">
        <v>336</v>
      </c>
    </row>
    <row r="5" spans="1:5">
      <c r="A5" s="10"/>
      <c r="B5" s="10"/>
      <c r="C5" s="10"/>
      <c r="D5" s="10"/>
      <c r="E5" s="226" t="s">
        <v>337</v>
      </c>
    </row>
    <row r="6" spans="1:5" ht="6" customHeight="1">
      <c r="A6" s="10" t="s">
        <v>334</v>
      </c>
      <c r="B6" s="10"/>
      <c r="C6" s="10"/>
      <c r="D6" s="10"/>
      <c r="E6" s="9"/>
    </row>
    <row r="7" spans="1:5">
      <c r="A7" s="10" t="s">
        <v>338</v>
      </c>
      <c r="B7" s="9"/>
      <c r="C7" s="9"/>
      <c r="D7" s="9"/>
      <c r="E7" s="226" t="s">
        <v>339</v>
      </c>
    </row>
    <row r="8" spans="1:5" ht="7.35" customHeight="1">
      <c r="A8" s="10"/>
      <c r="B8" s="10"/>
      <c r="C8" s="10"/>
      <c r="D8" s="10"/>
      <c r="E8" s="9"/>
    </row>
    <row r="9" spans="1:5">
      <c r="A9" s="226" t="s">
        <v>340</v>
      </c>
      <c r="B9" s="9"/>
      <c r="C9" s="9"/>
      <c r="D9" s="9"/>
      <c r="E9" s="9"/>
    </row>
    <row r="10" spans="1:5">
      <c r="A10" s="9"/>
      <c r="B10" s="226" t="s">
        <v>341</v>
      </c>
      <c r="C10" s="9"/>
      <c r="D10" s="9"/>
      <c r="E10" s="227" t="s">
        <v>450</v>
      </c>
    </row>
    <row r="11" spans="1:5">
      <c r="A11" s="9"/>
      <c r="B11" s="226" t="s">
        <v>368</v>
      </c>
      <c r="C11" s="9"/>
      <c r="D11" s="9"/>
      <c r="E11" s="227" t="s">
        <v>451</v>
      </c>
    </row>
    <row r="12" spans="1:5">
      <c r="A12" s="9"/>
      <c r="B12" s="226"/>
      <c r="C12" s="9"/>
      <c r="D12" s="9"/>
      <c r="E12" s="227" t="s">
        <v>401</v>
      </c>
    </row>
    <row r="13" spans="1:5">
      <c r="B13" s="226" t="s">
        <v>342</v>
      </c>
      <c r="C13" s="9"/>
      <c r="D13" s="9"/>
      <c r="E13" s="227" t="s">
        <v>452</v>
      </c>
    </row>
    <row r="14" spans="1:5">
      <c r="B14" s="9"/>
      <c r="C14" s="9"/>
      <c r="D14" s="9"/>
      <c r="E14" s="227" t="s">
        <v>343</v>
      </c>
    </row>
    <row r="15" spans="1:5">
      <c r="B15" s="226" t="s">
        <v>369</v>
      </c>
      <c r="C15" s="9"/>
      <c r="D15" s="9"/>
      <c r="E15" s="227" t="s">
        <v>344</v>
      </c>
    </row>
    <row r="16" spans="1:5">
      <c r="B16" s="9"/>
      <c r="C16" s="9"/>
      <c r="D16" s="9"/>
      <c r="E16" s="227" t="s">
        <v>345</v>
      </c>
    </row>
    <row r="17" spans="2:5">
      <c r="B17" s="9"/>
      <c r="C17" s="9"/>
      <c r="D17" s="9"/>
      <c r="E17" s="227" t="s">
        <v>400</v>
      </c>
    </row>
    <row r="18" spans="2:5">
      <c r="B18" s="226" t="s">
        <v>373</v>
      </c>
      <c r="E18" s="227" t="s">
        <v>453</v>
      </c>
    </row>
    <row r="19" spans="2:5">
      <c r="E19" s="227" t="s">
        <v>457</v>
      </c>
    </row>
    <row r="20" spans="2:5">
      <c r="E20" s="227" t="s">
        <v>465</v>
      </c>
    </row>
    <row r="21" spans="2:5">
      <c r="E21" s="227" t="s">
        <v>466</v>
      </c>
    </row>
    <row r="22" spans="2:5">
      <c r="E22" s="227" t="s">
        <v>455</v>
      </c>
    </row>
    <row r="23" spans="2:5">
      <c r="E23" s="227" t="s">
        <v>456</v>
      </c>
    </row>
    <row r="24" spans="2:5">
      <c r="E24" s="227" t="s">
        <v>454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F5E6-BC7F-42AA-B286-8735731AAFBE}">
  <sheetPr>
    <tabColor rgb="FF92D050"/>
  </sheetPr>
  <dimension ref="A2:H10"/>
  <sheetViews>
    <sheetView workbookViewId="0">
      <selection activeCell="A234" sqref="A234:XFD234"/>
    </sheetView>
  </sheetViews>
  <sheetFormatPr defaultColWidth="8.7109375" defaultRowHeight="15"/>
  <cols>
    <col min="1" max="3" width="3.28515625" style="132" customWidth="1"/>
    <col min="4" max="4" width="8.7109375" style="132"/>
    <col min="5" max="5" width="28.28515625" style="132" customWidth="1"/>
    <col min="6" max="6" width="16.42578125" style="132" bestFit="1" customWidth="1"/>
    <col min="7" max="7" width="8.7109375" style="132"/>
    <col min="8" max="8" width="13.28515625" style="132" bestFit="1" customWidth="1"/>
    <col min="9" max="16384" width="8.7109375" style="132"/>
  </cols>
  <sheetData>
    <row r="2" spans="1:8">
      <c r="A2" s="17"/>
      <c r="B2" s="17"/>
      <c r="C2" s="17"/>
      <c r="D2" s="17"/>
      <c r="E2" s="17"/>
      <c r="F2" s="88" t="s">
        <v>553</v>
      </c>
    </row>
    <row r="3" spans="1:8">
      <c r="A3" s="17"/>
      <c r="B3" s="17"/>
      <c r="C3" s="17"/>
      <c r="D3" s="17"/>
      <c r="E3" s="17"/>
      <c r="F3" s="12"/>
    </row>
    <row r="4" spans="1:8">
      <c r="A4" s="11" t="s">
        <v>346</v>
      </c>
      <c r="B4" s="17"/>
      <c r="C4" s="17"/>
      <c r="D4" s="17"/>
      <c r="E4" s="17"/>
      <c r="F4" s="12">
        <v>3467298517</v>
      </c>
    </row>
    <row r="5" spans="1:8">
      <c r="A5" s="11" t="s">
        <v>347</v>
      </c>
      <c r="B5" s="17"/>
      <c r="C5" s="17"/>
      <c r="D5" s="17"/>
      <c r="E5" s="17"/>
      <c r="F5" s="99">
        <v>1155695465</v>
      </c>
    </row>
    <row r="6" spans="1:8">
      <c r="A6" s="11"/>
      <c r="B6" s="17"/>
      <c r="C6" s="17"/>
      <c r="D6" s="17"/>
      <c r="E6" s="17"/>
      <c r="F6" s="98"/>
    </row>
    <row r="7" spans="1:8" ht="15.75" thickBot="1">
      <c r="A7" s="11" t="s">
        <v>348</v>
      </c>
      <c r="B7" s="17"/>
      <c r="C7" s="17"/>
      <c r="D7" s="17"/>
      <c r="E7" s="17"/>
      <c r="F7" s="97">
        <f>+F4-F5</f>
        <v>2311603052</v>
      </c>
      <c r="H7" s="39"/>
    </row>
    <row r="8" spans="1:8" ht="15.75" thickTop="1">
      <c r="A8" s="17"/>
      <c r="B8" s="17"/>
      <c r="C8" s="17"/>
      <c r="D8" s="17"/>
      <c r="E8" s="17"/>
      <c r="F8" s="17"/>
    </row>
    <row r="9" spans="1:8">
      <c r="A9" s="11" t="s">
        <v>349</v>
      </c>
      <c r="B9" s="17"/>
      <c r="C9" s="17"/>
      <c r="D9" s="17"/>
      <c r="E9" s="17"/>
      <c r="F9" s="17"/>
    </row>
    <row r="10" spans="1:8">
      <c r="A10" s="11" t="s">
        <v>350</v>
      </c>
      <c r="B10" s="17"/>
      <c r="C10" s="17"/>
      <c r="D10" s="17"/>
      <c r="E10" s="17"/>
      <c r="F10" s="13">
        <f>F5/F4</f>
        <v>0.33331294070403228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4198-3D42-4556-89CE-ED3A59B8CF22}">
  <sheetPr>
    <tabColor rgb="FF92D050"/>
  </sheetPr>
  <dimension ref="A1:E11"/>
  <sheetViews>
    <sheetView workbookViewId="0">
      <selection activeCell="A234" sqref="A234:XFD234"/>
    </sheetView>
  </sheetViews>
  <sheetFormatPr defaultColWidth="8.7109375" defaultRowHeight="15"/>
  <cols>
    <col min="1" max="1" width="25.42578125" style="132" customWidth="1"/>
    <col min="2" max="2" width="2.7109375" style="132" customWidth="1"/>
    <col min="3" max="3" width="13" style="132" customWidth="1"/>
    <col min="4" max="4" width="2.7109375" style="132" customWidth="1"/>
    <col min="5" max="6" width="13" style="132" customWidth="1"/>
    <col min="7" max="16384" width="8.7109375" style="132"/>
  </cols>
  <sheetData>
    <row r="1" spans="1:5">
      <c r="A1" s="17"/>
      <c r="B1" s="17"/>
      <c r="C1" s="18" t="s">
        <v>374</v>
      </c>
      <c r="D1" s="17"/>
      <c r="E1" s="18" t="s">
        <v>362</v>
      </c>
    </row>
    <row r="2" spans="1:5">
      <c r="A2" s="16" t="s">
        <v>351</v>
      </c>
      <c r="B2" s="17"/>
      <c r="C2" s="16" t="s">
        <v>375</v>
      </c>
      <c r="D2" s="17"/>
      <c r="E2" s="16" t="s">
        <v>352</v>
      </c>
    </row>
    <row r="3" spans="1:5">
      <c r="A3" s="14" t="s">
        <v>353</v>
      </c>
      <c r="B3" s="17"/>
      <c r="C3" s="20">
        <v>0.2</v>
      </c>
      <c r="D3" s="17"/>
      <c r="E3" s="40">
        <v>4.0000000000000001E-3</v>
      </c>
    </row>
    <row r="4" spans="1:5">
      <c r="A4" s="14" t="s">
        <v>354</v>
      </c>
      <c r="B4" s="17"/>
      <c r="C4" s="20">
        <v>0.2</v>
      </c>
      <c r="D4" s="17"/>
      <c r="E4" s="40">
        <v>6.6000000000000003E-2</v>
      </c>
    </row>
    <row r="5" spans="1:5">
      <c r="A5" s="14" t="s">
        <v>355</v>
      </c>
      <c r="B5" s="17"/>
      <c r="C5" s="20">
        <v>0.15</v>
      </c>
      <c r="D5" s="17"/>
      <c r="E5" s="40">
        <v>9.1999999999999998E-2</v>
      </c>
    </row>
    <row r="6" spans="1:5">
      <c r="A6" s="14" t="s">
        <v>356</v>
      </c>
      <c r="B6" s="17"/>
      <c r="C6" s="20">
        <v>0.12</v>
      </c>
      <c r="D6" s="17"/>
      <c r="E6" s="40">
        <v>7.2999999999999995E-2</v>
      </c>
    </row>
    <row r="7" spans="1:5">
      <c r="A7" s="14" t="s">
        <v>357</v>
      </c>
      <c r="B7" s="17"/>
      <c r="C7" s="20">
        <v>0.1</v>
      </c>
      <c r="D7" s="17"/>
      <c r="E7" s="40">
        <v>0.106</v>
      </c>
    </row>
    <row r="8" spans="1:5">
      <c r="A8" s="14" t="s">
        <v>358</v>
      </c>
      <c r="B8" s="17"/>
      <c r="C8" s="20">
        <v>0.1</v>
      </c>
      <c r="D8" s="17"/>
      <c r="E8" s="40">
        <v>3.1E-2</v>
      </c>
    </row>
    <row r="9" spans="1:5">
      <c r="A9" s="14" t="s">
        <v>359</v>
      </c>
      <c r="B9" s="17"/>
      <c r="C9" s="20">
        <v>0.05</v>
      </c>
      <c r="D9" s="17"/>
      <c r="E9" s="40">
        <v>3.6999999999999998E-2</v>
      </c>
    </row>
    <row r="10" spans="1:5">
      <c r="A10" s="14" t="s">
        <v>360</v>
      </c>
      <c r="B10" s="17"/>
      <c r="C10" s="20">
        <v>0.05</v>
      </c>
      <c r="D10" s="17"/>
      <c r="E10" s="40">
        <v>2.5000000000000001E-2</v>
      </c>
    </row>
    <row r="11" spans="1:5">
      <c r="A11" s="14" t="s">
        <v>361</v>
      </c>
      <c r="B11" s="11"/>
      <c r="C11" s="20">
        <v>0.03</v>
      </c>
      <c r="D11" s="11"/>
      <c r="E11" s="40">
        <v>6.6000000000000003E-2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149E-2BD5-4848-BF9E-3FC9BE51B138}">
  <sheetPr>
    <tabColor rgb="FF92D050"/>
  </sheetPr>
  <dimension ref="B2:H23"/>
  <sheetViews>
    <sheetView workbookViewId="0">
      <selection activeCell="A234" sqref="A234:XFD234"/>
    </sheetView>
  </sheetViews>
  <sheetFormatPr defaultColWidth="8.7109375" defaultRowHeight="15"/>
  <cols>
    <col min="1" max="1" width="2.28515625" style="132" customWidth="1"/>
    <col min="2" max="2" width="15.7109375" style="132" customWidth="1"/>
    <col min="3" max="3" width="2.28515625" style="132" customWidth="1"/>
    <col min="4" max="4" width="15.7109375" style="132" customWidth="1"/>
    <col min="5" max="5" width="2.28515625" style="132" customWidth="1"/>
    <col min="6" max="6" width="15.7109375" style="132" customWidth="1"/>
    <col min="7" max="16384" width="8.7109375" style="132"/>
  </cols>
  <sheetData>
    <row r="2" spans="2:8">
      <c r="B2" s="18" t="s">
        <v>363</v>
      </c>
      <c r="C2" s="17"/>
      <c r="D2" s="18" t="s">
        <v>364</v>
      </c>
      <c r="E2" s="17"/>
      <c r="F2" s="18" t="s">
        <v>365</v>
      </c>
    </row>
    <row r="3" spans="2:8">
      <c r="B3" s="228" t="s">
        <v>580</v>
      </c>
      <c r="C3" s="229"/>
      <c r="D3" s="228" t="s">
        <v>581</v>
      </c>
      <c r="E3" s="229"/>
      <c r="F3" s="228" t="s">
        <v>582</v>
      </c>
    </row>
    <row r="4" spans="2:8">
      <c r="B4" s="230">
        <v>2876647742</v>
      </c>
      <c r="C4" s="62"/>
      <c r="D4" s="230">
        <v>2311603052</v>
      </c>
      <c r="E4" s="62"/>
      <c r="F4" s="230">
        <v>1861093455</v>
      </c>
    </row>
    <row r="7" spans="2:8">
      <c r="B7" s="18"/>
      <c r="C7" s="17"/>
      <c r="D7" s="18" t="s">
        <v>366</v>
      </c>
      <c r="E7" s="17"/>
      <c r="F7" s="18"/>
    </row>
    <row r="8" spans="2:8">
      <c r="B8" s="16" t="s">
        <v>363</v>
      </c>
      <c r="C8" s="17"/>
      <c r="D8" s="80" t="s">
        <v>367</v>
      </c>
      <c r="E8" s="17"/>
      <c r="F8" s="16" t="s">
        <v>365</v>
      </c>
    </row>
    <row r="9" spans="2:8">
      <c r="B9" s="230">
        <v>1852195881</v>
      </c>
      <c r="C9" s="231"/>
      <c r="D9" s="230">
        <f>+D4</f>
        <v>2311603052</v>
      </c>
      <c r="E9" s="231"/>
      <c r="F9" s="230">
        <v>2703138257</v>
      </c>
    </row>
    <row r="16" spans="2:8">
      <c r="B16" s="18" t="s">
        <v>363</v>
      </c>
      <c r="C16" s="17"/>
      <c r="D16" s="18" t="s">
        <v>364</v>
      </c>
      <c r="E16" s="17"/>
      <c r="F16" s="18" t="s">
        <v>365</v>
      </c>
      <c r="H16" s="132" t="s">
        <v>388</v>
      </c>
    </row>
    <row r="17" spans="2:6">
      <c r="B17" s="80" t="s">
        <v>460</v>
      </c>
      <c r="C17" s="17"/>
      <c r="D17" s="80" t="s">
        <v>458</v>
      </c>
      <c r="E17" s="17"/>
      <c r="F17" s="80" t="s">
        <v>459</v>
      </c>
    </row>
    <row r="18" spans="2:6">
      <c r="B18" s="19">
        <v>1506686</v>
      </c>
      <c r="C18" s="17"/>
      <c r="D18" s="19">
        <v>1242132</v>
      </c>
      <c r="E18" s="17"/>
      <c r="F18" s="19">
        <v>1034565</v>
      </c>
    </row>
    <row r="21" spans="2:6">
      <c r="B21" s="18"/>
      <c r="C21" s="17"/>
      <c r="D21" s="18" t="s">
        <v>366</v>
      </c>
      <c r="E21" s="17"/>
      <c r="F21" s="18"/>
    </row>
    <row r="22" spans="2:6">
      <c r="B22" s="16" t="s">
        <v>363</v>
      </c>
      <c r="C22" s="17"/>
      <c r="D22" s="80" t="s">
        <v>367</v>
      </c>
      <c r="E22" s="17"/>
      <c r="F22" s="16" t="s">
        <v>365</v>
      </c>
    </row>
    <row r="23" spans="2:6">
      <c r="B23" s="15">
        <v>1056518</v>
      </c>
      <c r="C23" s="17"/>
      <c r="D23" s="19">
        <v>1242132</v>
      </c>
      <c r="E23" s="17"/>
      <c r="F23" s="15">
        <v>1386864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7142-B57F-438B-83FD-8999B1059969}">
  <sheetPr>
    <tabColor rgb="FF92D050"/>
  </sheetPr>
  <dimension ref="A1:J24"/>
  <sheetViews>
    <sheetView workbookViewId="0">
      <selection activeCell="A234" sqref="A234:XFD234"/>
    </sheetView>
  </sheetViews>
  <sheetFormatPr defaultColWidth="8.7109375" defaultRowHeight="12.75"/>
  <cols>
    <col min="1" max="4" width="2.42578125" style="62" customWidth="1"/>
    <col min="5" max="5" width="45.42578125" style="62" customWidth="1"/>
    <col min="6" max="6" width="16.7109375" style="62" bestFit="1" customWidth="1"/>
    <col min="7" max="7" width="10.42578125" style="62" bestFit="1" customWidth="1"/>
    <col min="8" max="8" width="14.7109375" style="62" customWidth="1"/>
    <col min="9" max="9" width="8.7109375" style="62"/>
    <col min="10" max="10" width="11.7109375" style="62" bestFit="1" customWidth="1"/>
    <col min="11" max="16384" width="8.7109375" style="62"/>
  </cols>
  <sheetData>
    <row r="1" spans="1:10" ht="13.5" customHeight="1">
      <c r="A1" s="62" t="s">
        <v>404</v>
      </c>
      <c r="F1" s="68">
        <v>155314732</v>
      </c>
      <c r="H1" s="67">
        <v>155314732</v>
      </c>
      <c r="I1" s="62" t="s">
        <v>386</v>
      </c>
    </row>
    <row r="2" spans="1:10" ht="13.5" customHeight="1">
      <c r="A2" s="62" t="s">
        <v>306</v>
      </c>
      <c r="F2" s="67">
        <v>163469038</v>
      </c>
      <c r="H2" s="67">
        <v>163469038</v>
      </c>
    </row>
    <row r="3" spans="1:10" ht="13.5" customHeight="1">
      <c r="A3" s="62" t="s">
        <v>304</v>
      </c>
      <c r="H3" s="67"/>
    </row>
    <row r="4" spans="1:10" ht="13.5" customHeight="1">
      <c r="B4" s="62" t="s">
        <v>309</v>
      </c>
      <c r="F4" s="67">
        <v>-6132812</v>
      </c>
      <c r="H4" s="67">
        <v>-6132812</v>
      </c>
    </row>
    <row r="5" spans="1:10" ht="13.5" customHeight="1">
      <c r="A5" s="62" t="s">
        <v>310</v>
      </c>
      <c r="F5" s="67"/>
      <c r="H5" s="67"/>
    </row>
    <row r="6" spans="1:10" ht="13.5" customHeight="1">
      <c r="B6" s="62" t="s">
        <v>311</v>
      </c>
      <c r="F6" s="67">
        <v>-191075679</v>
      </c>
      <c r="H6" s="67">
        <v>-191075679</v>
      </c>
    </row>
    <row r="7" spans="1:10" ht="13.5" customHeight="1">
      <c r="A7" s="62" t="s">
        <v>307</v>
      </c>
      <c r="F7" s="46">
        <v>-50810510</v>
      </c>
      <c r="H7" s="67">
        <v>-50810510</v>
      </c>
    </row>
    <row r="8" spans="1:10" ht="13.5" customHeight="1">
      <c r="A8" s="62" t="s">
        <v>308</v>
      </c>
      <c r="F8" s="46">
        <v>-81365852</v>
      </c>
      <c r="H8" s="67">
        <v>-81365852</v>
      </c>
    </row>
    <row r="9" spans="1:10" ht="13.5" customHeight="1">
      <c r="A9" s="62" t="s">
        <v>305</v>
      </c>
      <c r="F9" s="46"/>
      <c r="H9" s="67"/>
    </row>
    <row r="10" spans="1:10" ht="13.5" customHeight="1">
      <c r="B10" s="62" t="s">
        <v>312</v>
      </c>
      <c r="F10" s="46">
        <v>26181891</v>
      </c>
      <c r="H10" s="67">
        <v>26181891</v>
      </c>
    </row>
    <row r="11" spans="1:10" ht="13.5" customHeight="1">
      <c r="A11" s="62" t="s">
        <v>406</v>
      </c>
      <c r="F11" s="46">
        <f>3080880-36201118</f>
        <v>-33120238</v>
      </c>
      <c r="H11" s="67">
        <v>-33120238</v>
      </c>
    </row>
    <row r="12" spans="1:10" ht="13.5" customHeight="1">
      <c r="A12" s="62" t="s">
        <v>461</v>
      </c>
      <c r="F12" s="46"/>
      <c r="H12" s="67"/>
    </row>
    <row r="13" spans="1:10" ht="13.5" customHeight="1">
      <c r="B13" s="62" t="s">
        <v>405</v>
      </c>
      <c r="F13" s="46">
        <v>186052988</v>
      </c>
      <c r="H13" s="67">
        <v>153715340</v>
      </c>
    </row>
    <row r="14" spans="1:10" ht="13.5" customHeight="1">
      <c r="A14" s="62" t="s">
        <v>389</v>
      </c>
      <c r="F14" s="46"/>
      <c r="H14" s="67"/>
    </row>
    <row r="15" spans="1:10" ht="13.5" customHeight="1">
      <c r="B15" s="62" t="s">
        <v>405</v>
      </c>
      <c r="F15" s="103">
        <f>-654618985-194672</f>
        <v>-654813657</v>
      </c>
      <c r="H15" s="67">
        <v>-622476009</v>
      </c>
      <c r="J15" s="89"/>
    </row>
    <row r="16" spans="1:10" ht="13.5" customHeight="1">
      <c r="F16" s="82"/>
    </row>
    <row r="17" spans="1:10" ht="13.5" customHeight="1" thickBot="1">
      <c r="A17" s="62" t="s">
        <v>403</v>
      </c>
      <c r="F17" s="86">
        <f>SUM(F1:F15)</f>
        <v>-486300099</v>
      </c>
      <c r="H17" s="86">
        <f>SUM(H1:H15)</f>
        <v>-486300099</v>
      </c>
      <c r="J17" s="69">
        <f>F17-H17</f>
        <v>0</v>
      </c>
    </row>
    <row r="18" spans="1:10" ht="13.5" customHeight="1" thickTop="1"/>
    <row r="19" spans="1:10" ht="13.5" customHeight="1"/>
    <row r="24" spans="1:10">
      <c r="F24" s="50">
        <f>+F17-'OPEB Amounts_Report'!O326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6BC9-1256-461D-A586-CEA86071352C}">
  <sheetPr>
    <tabColor rgb="FF00B050"/>
  </sheetPr>
  <dimension ref="A1:AE63"/>
  <sheetViews>
    <sheetView topLeftCell="A22" workbookViewId="0">
      <selection activeCell="A234" sqref="A234:XFD234"/>
    </sheetView>
  </sheetViews>
  <sheetFormatPr defaultColWidth="8.7109375" defaultRowHeight="12.75"/>
  <cols>
    <col min="1" max="1" width="2.7109375" style="62" customWidth="1"/>
    <col min="2" max="3" width="2.42578125" style="62" customWidth="1"/>
    <col min="4" max="4" width="26" style="62" customWidth="1"/>
    <col min="5" max="5" width="2.28515625" style="62" customWidth="1"/>
    <col min="6" max="6" width="7.5703125" style="62" bestFit="1" customWidth="1"/>
    <col min="7" max="7" width="1.42578125" style="62" customWidth="1"/>
    <col min="8" max="8" width="11.5703125" style="62" customWidth="1"/>
    <col min="9" max="9" width="1.42578125" style="62" customWidth="1"/>
    <col min="10" max="10" width="15.28515625" style="62" bestFit="1" customWidth="1"/>
    <col min="11" max="11" width="1.42578125" style="62" customWidth="1"/>
    <col min="12" max="12" width="15.28515625" style="62" bestFit="1" customWidth="1"/>
    <col min="13" max="13" width="1.42578125" style="62" customWidth="1"/>
    <col min="14" max="14" width="14.28515625" style="62" bestFit="1" customWidth="1"/>
    <col min="15" max="15" width="1.42578125" style="62" customWidth="1"/>
    <col min="16" max="16" width="16.28515625" style="62" customWidth="1"/>
    <col min="17" max="17" width="8.7109375" style="62"/>
    <col min="18" max="18" width="15" style="62" bestFit="1" customWidth="1"/>
    <col min="19" max="19" width="3" style="62" customWidth="1"/>
    <col min="20" max="22" width="8.7109375" style="62"/>
    <col min="23" max="23" width="4.28515625" style="62" customWidth="1"/>
    <col min="24" max="24" width="1.5703125" style="62" customWidth="1"/>
    <col min="25" max="25" width="17" style="62" bestFit="1" customWidth="1"/>
    <col min="26" max="26" width="15.42578125" style="62" bestFit="1" customWidth="1"/>
    <col min="27" max="27" width="17.7109375" style="62" customWidth="1"/>
    <col min="28" max="28" width="14.7109375" style="62" customWidth="1"/>
    <col min="29" max="29" width="19.42578125" style="62" customWidth="1"/>
    <col min="30" max="30" width="8.7109375" style="62"/>
    <col min="31" max="31" width="15" style="62" bestFit="1" customWidth="1"/>
    <col min="32" max="16384" width="8.7109375" style="62"/>
  </cols>
  <sheetData>
    <row r="1" spans="1:31" ht="14.1" customHeight="1">
      <c r="H1" s="73" t="s">
        <v>402</v>
      </c>
    </row>
    <row r="2" spans="1:31" ht="14.1" customHeight="1">
      <c r="A2" s="72"/>
      <c r="B2" s="72"/>
      <c r="C2" s="72"/>
      <c r="D2" s="72"/>
      <c r="E2" s="72"/>
      <c r="F2" s="73" t="s">
        <v>313</v>
      </c>
      <c r="G2" s="72"/>
      <c r="H2" s="73" t="s">
        <v>315</v>
      </c>
      <c r="I2" s="72"/>
      <c r="J2" s="73" t="s">
        <v>317</v>
      </c>
      <c r="K2" s="72"/>
      <c r="L2" s="73" t="s">
        <v>324</v>
      </c>
      <c r="M2" s="73"/>
      <c r="N2" s="72"/>
      <c r="O2" s="73"/>
      <c r="P2" s="73" t="s">
        <v>326</v>
      </c>
    </row>
    <row r="3" spans="1:31" ht="14.1" customHeight="1">
      <c r="A3" s="74" t="s">
        <v>376</v>
      </c>
      <c r="B3" s="74"/>
      <c r="C3" s="74"/>
      <c r="D3" s="74"/>
      <c r="E3" s="72"/>
      <c r="F3" s="75" t="s">
        <v>314</v>
      </c>
      <c r="G3" s="72"/>
      <c r="H3" s="75" t="s">
        <v>316</v>
      </c>
      <c r="I3" s="72"/>
      <c r="J3" s="76" t="s">
        <v>318</v>
      </c>
      <c r="K3" s="72"/>
      <c r="L3" s="75" t="s">
        <v>325</v>
      </c>
      <c r="M3" s="73"/>
      <c r="N3" s="75" t="s">
        <v>315</v>
      </c>
      <c r="O3" s="73"/>
      <c r="P3" s="75" t="s">
        <v>318</v>
      </c>
    </row>
    <row r="4" spans="1:31" ht="14.1" customHeight="1">
      <c r="F4" s="70"/>
      <c r="H4" s="70"/>
      <c r="J4" s="71"/>
      <c r="Y4" s="62">
        <v>2023</v>
      </c>
      <c r="Z4" s="62">
        <v>2024</v>
      </c>
      <c r="AA4" s="62">
        <v>2025</v>
      </c>
      <c r="AB4" s="62">
        <v>2026</v>
      </c>
      <c r="AC4" s="62">
        <v>2027</v>
      </c>
      <c r="AE4" s="62" t="s">
        <v>384</v>
      </c>
    </row>
    <row r="5" spans="1:31" ht="14.1" customHeight="1">
      <c r="A5" s="62" t="s">
        <v>320</v>
      </c>
    </row>
    <row r="6" spans="1:31" ht="14.1" customHeight="1">
      <c r="B6" s="62" t="s">
        <v>321</v>
      </c>
      <c r="F6" s="70">
        <v>2021</v>
      </c>
      <c r="H6" s="70">
        <v>4.9800000000000004</v>
      </c>
      <c r="J6" s="90">
        <v>48109251</v>
      </c>
      <c r="L6" s="90">
        <v>0</v>
      </c>
      <c r="M6" s="95"/>
      <c r="N6" s="90">
        <v>-9660492</v>
      </c>
      <c r="O6" s="95"/>
      <c r="P6" s="90">
        <f>SUM(J6:N6)</f>
        <v>38448759</v>
      </c>
      <c r="Y6" s="67">
        <f>N6</f>
        <v>-9660492</v>
      </c>
      <c r="Z6" s="89">
        <f>+Y6</f>
        <v>-9660492</v>
      </c>
      <c r="AA6" s="89">
        <f>+Z6</f>
        <v>-9660492</v>
      </c>
      <c r="AB6" s="67">
        <f>+AA6*0.98-1</f>
        <v>-9467283.1600000001</v>
      </c>
      <c r="AE6" s="69">
        <f>SUM(P6:AB6)</f>
        <v>-0.16000000014901161</v>
      </c>
    </row>
    <row r="7" spans="1:31" ht="14.1" customHeight="1"/>
    <row r="8" spans="1:31" ht="14.1" customHeight="1">
      <c r="A8" s="62" t="s">
        <v>468</v>
      </c>
      <c r="F8" s="70"/>
      <c r="H8" s="70"/>
      <c r="J8" s="92"/>
      <c r="K8" s="105"/>
      <c r="L8" s="92"/>
      <c r="M8" s="93"/>
      <c r="N8" s="92"/>
      <c r="O8" s="93"/>
      <c r="P8" s="92"/>
      <c r="Y8" s="67"/>
      <c r="Z8" s="89"/>
      <c r="AA8" s="89"/>
      <c r="AB8" s="89"/>
      <c r="AC8" s="67"/>
      <c r="AE8" s="69"/>
    </row>
    <row r="9" spans="1:31" ht="14.1" customHeight="1">
      <c r="B9" s="62" t="s">
        <v>322</v>
      </c>
      <c r="F9" s="70">
        <v>2018</v>
      </c>
      <c r="H9" s="109">
        <v>1</v>
      </c>
      <c r="J9" s="93">
        <v>-1343105</v>
      </c>
      <c r="K9" s="105"/>
      <c r="L9" s="93">
        <v>0</v>
      </c>
      <c r="M9" s="93"/>
      <c r="N9" s="93">
        <f>-J9</f>
        <v>1343105</v>
      </c>
      <c r="O9" s="93"/>
      <c r="P9" s="93">
        <f>SUM(J9:N9)</f>
        <v>0</v>
      </c>
      <c r="Y9" s="67"/>
      <c r="Z9" s="89"/>
      <c r="AA9" s="89"/>
      <c r="AB9" s="89"/>
      <c r="AC9" s="67"/>
      <c r="AE9" s="69">
        <f t="shared" ref="AE9:AE12" si="0">SUM(P9:AC9)</f>
        <v>0</v>
      </c>
    </row>
    <row r="10" spans="1:31" ht="14.1" customHeight="1">
      <c r="F10" s="70">
        <v>2019</v>
      </c>
      <c r="H10" s="109">
        <v>2</v>
      </c>
      <c r="J10" s="93">
        <v>3239357</v>
      </c>
      <c r="K10" s="105"/>
      <c r="L10" s="93">
        <v>0</v>
      </c>
      <c r="M10" s="93"/>
      <c r="N10" s="93">
        <v>-1619679</v>
      </c>
      <c r="O10" s="93"/>
      <c r="P10" s="93">
        <f>SUM(J10:N10)</f>
        <v>1619678</v>
      </c>
      <c r="Y10" s="67">
        <f>-P10</f>
        <v>-1619678</v>
      </c>
      <c r="Z10" s="89"/>
      <c r="AA10" s="89"/>
      <c r="AB10" s="89"/>
      <c r="AC10" s="67"/>
      <c r="AE10" s="69">
        <f t="shared" si="0"/>
        <v>0</v>
      </c>
    </row>
    <row r="11" spans="1:31" ht="14.1" customHeight="1">
      <c r="F11" s="70">
        <v>2020</v>
      </c>
      <c r="H11" s="109">
        <v>3</v>
      </c>
      <c r="J11" s="93">
        <v>27766823</v>
      </c>
      <c r="K11" s="105"/>
      <c r="L11" s="93">
        <v>0</v>
      </c>
      <c r="M11" s="93"/>
      <c r="N11" s="93">
        <v>-9255608</v>
      </c>
      <c r="O11" s="93"/>
      <c r="P11" s="93">
        <f>SUM(J11:N11)</f>
        <v>18511215</v>
      </c>
      <c r="Y11" s="67">
        <f>+N11</f>
        <v>-9255608</v>
      </c>
      <c r="Z11" s="89">
        <f>+Y11+1</f>
        <v>-9255607</v>
      </c>
      <c r="AA11" s="89"/>
      <c r="AB11" s="89"/>
      <c r="AC11" s="67"/>
      <c r="AE11" s="69">
        <f t="shared" si="0"/>
        <v>0</v>
      </c>
    </row>
    <row r="12" spans="1:31" ht="14.1" customHeight="1">
      <c r="F12" s="70">
        <v>2021</v>
      </c>
      <c r="H12" s="109">
        <v>4</v>
      </c>
      <c r="J12" s="93">
        <v>-123978170</v>
      </c>
      <c r="K12" s="105"/>
      <c r="L12" s="93">
        <v>0</v>
      </c>
      <c r="M12" s="93"/>
      <c r="N12" s="93">
        <v>30994543</v>
      </c>
      <c r="O12" s="93"/>
      <c r="P12" s="93">
        <f>SUM(J12:N12)</f>
        <v>-92983627</v>
      </c>
      <c r="Y12" s="67">
        <f>+N12</f>
        <v>30994543</v>
      </c>
      <c r="Z12" s="89">
        <f>+Y12-1</f>
        <v>30994542</v>
      </c>
      <c r="AA12" s="89">
        <f>+Y12-1</f>
        <v>30994542</v>
      </c>
      <c r="AB12" s="89"/>
      <c r="AC12" s="67"/>
      <c r="AE12" s="69">
        <f t="shared" si="0"/>
        <v>0</v>
      </c>
    </row>
    <row r="13" spans="1:31" ht="14.1" customHeight="1">
      <c r="F13" s="70">
        <v>2022</v>
      </c>
      <c r="H13" s="109">
        <v>5</v>
      </c>
      <c r="J13" s="93">
        <v>0</v>
      </c>
      <c r="L13" s="92">
        <v>130909463</v>
      </c>
      <c r="N13" s="93">
        <v>-26181891</v>
      </c>
      <c r="P13" s="93">
        <f>SUM(J13:N13)</f>
        <v>104727572</v>
      </c>
      <c r="R13" s="50">
        <f>+'OPEB Amounts_Report'!E326</f>
        <v>31874838</v>
      </c>
      <c r="T13" s="50">
        <f>+SUM(P9:P13)-R13</f>
        <v>0</v>
      </c>
      <c r="Y13" s="67">
        <f>+N13-2</f>
        <v>-26181893</v>
      </c>
      <c r="Z13" s="89">
        <f>+Y13</f>
        <v>-26181893</v>
      </c>
      <c r="AA13" s="89">
        <f>+Z13</f>
        <v>-26181893</v>
      </c>
      <c r="AB13" s="89">
        <f>+AA13</f>
        <v>-26181893</v>
      </c>
      <c r="AE13" s="69">
        <f>SUM(P13:AC13)-R13-T13</f>
        <v>0</v>
      </c>
    </row>
    <row r="14" spans="1:31" ht="14.1" customHeight="1"/>
    <row r="15" spans="1:31" ht="14.1" customHeight="1">
      <c r="A15" s="62" t="s">
        <v>319</v>
      </c>
      <c r="F15" s="70">
        <v>2020</v>
      </c>
      <c r="H15" s="70">
        <v>3.98</v>
      </c>
      <c r="J15" s="77">
        <v>658758492</v>
      </c>
      <c r="L15" s="91">
        <v>0</v>
      </c>
      <c r="M15" s="93"/>
      <c r="N15" s="77">
        <v>-165517209</v>
      </c>
      <c r="O15" s="93"/>
      <c r="P15" s="77">
        <f>SUM(J15:N15)</f>
        <v>493241283</v>
      </c>
      <c r="Y15" s="67">
        <f>N15</f>
        <v>-165517209</v>
      </c>
      <c r="Z15" s="89">
        <f>+Y15</f>
        <v>-165517209</v>
      </c>
      <c r="AA15" s="89">
        <f>+Z15*0.98</f>
        <v>-162206864.81999999</v>
      </c>
      <c r="AB15" s="67"/>
      <c r="AE15" s="69">
        <f>SUM(P15:AC15)</f>
        <v>0.18000000715255737</v>
      </c>
    </row>
    <row r="16" spans="1:31" ht="14.1" customHeight="1">
      <c r="J16" s="87"/>
    </row>
    <row r="17" spans="1:31" ht="14.1" customHeight="1" thickBot="1">
      <c r="A17" s="62" t="s">
        <v>433</v>
      </c>
      <c r="J17" s="86">
        <f>SUM(J3:J16)</f>
        <v>612552648</v>
      </c>
      <c r="L17" s="86">
        <f>SUM(L3:L16)</f>
        <v>130909463</v>
      </c>
      <c r="M17" s="69"/>
      <c r="N17" s="86">
        <f>SUM(N3:N16)</f>
        <v>-179897231</v>
      </c>
      <c r="O17" s="69"/>
      <c r="P17" s="86">
        <f>SUM(P3:P16)</f>
        <v>563564880</v>
      </c>
      <c r="Q17" s="38"/>
      <c r="R17" s="50">
        <f>SUM('OPEB Amounts_Report'!D326:F326)-P17</f>
        <v>0</v>
      </c>
      <c r="Y17" s="89">
        <f>SUM(Y6:Y15)</f>
        <v>-181240337</v>
      </c>
      <c r="Z17" s="89">
        <f>SUM(Z6:Z15)</f>
        <v>-179620659</v>
      </c>
      <c r="AA17" s="89">
        <f>SUM(AA6:AA15)</f>
        <v>-167054707.81999999</v>
      </c>
      <c r="AB17" s="89">
        <f>SUM(AB6:AB15)</f>
        <v>-35649176.159999996</v>
      </c>
      <c r="AC17" s="89">
        <f>SUM(AC6:AC15)</f>
        <v>0</v>
      </c>
    </row>
    <row r="18" spans="1:31" ht="13.5" thickTop="1"/>
    <row r="21" spans="1:31" ht="14.1" customHeight="1">
      <c r="H21" s="73" t="s">
        <v>402</v>
      </c>
    </row>
    <row r="22" spans="1:31" ht="14.1" customHeight="1">
      <c r="A22" s="72"/>
      <c r="B22" s="72"/>
      <c r="C22" s="72"/>
      <c r="D22" s="72"/>
      <c r="E22" s="72"/>
      <c r="F22" s="73" t="s">
        <v>313</v>
      </c>
      <c r="G22" s="72"/>
      <c r="H22" s="73" t="s">
        <v>315</v>
      </c>
      <c r="I22" s="72"/>
      <c r="J22" s="73" t="s">
        <v>317</v>
      </c>
      <c r="K22" s="72"/>
      <c r="L22" s="73" t="s">
        <v>324</v>
      </c>
      <c r="M22" s="73"/>
      <c r="N22" s="72"/>
      <c r="O22" s="73"/>
      <c r="P22" s="73" t="s">
        <v>326</v>
      </c>
    </row>
    <row r="23" spans="1:31" ht="14.1" customHeight="1">
      <c r="A23" s="74" t="s">
        <v>296</v>
      </c>
      <c r="B23" s="74"/>
      <c r="C23" s="74"/>
      <c r="D23" s="74"/>
      <c r="E23" s="72"/>
      <c r="F23" s="75" t="s">
        <v>314</v>
      </c>
      <c r="G23" s="72"/>
      <c r="H23" s="75" t="s">
        <v>316</v>
      </c>
      <c r="I23" s="72"/>
      <c r="J23" s="76" t="s">
        <v>318</v>
      </c>
      <c r="K23" s="72"/>
      <c r="L23" s="75" t="s">
        <v>325</v>
      </c>
      <c r="M23" s="73"/>
      <c r="N23" s="75" t="s">
        <v>315</v>
      </c>
      <c r="O23" s="73"/>
      <c r="P23" s="75" t="s">
        <v>318</v>
      </c>
    </row>
    <row r="24" spans="1:31" ht="14.1" customHeight="1">
      <c r="F24" s="70"/>
      <c r="H24" s="70"/>
      <c r="J24" s="71"/>
      <c r="Y24" s="62">
        <v>2022</v>
      </c>
      <c r="Z24" s="62">
        <v>2023</v>
      </c>
      <c r="AA24" s="62">
        <v>2024</v>
      </c>
      <c r="AB24" s="62">
        <v>2025</v>
      </c>
      <c r="AC24" s="62">
        <v>2026</v>
      </c>
    </row>
    <row r="25" spans="1:31" ht="14.1" customHeight="1">
      <c r="A25" s="62" t="s">
        <v>320</v>
      </c>
    </row>
    <row r="26" spans="1:31" ht="14.1" customHeight="1">
      <c r="B26" s="62" t="s">
        <v>321</v>
      </c>
      <c r="F26" s="70">
        <v>2017</v>
      </c>
      <c r="H26" s="70">
        <v>0.76</v>
      </c>
      <c r="J26" s="68">
        <v>27765799</v>
      </c>
      <c r="L26" s="94">
        <v>0</v>
      </c>
      <c r="M26" s="96"/>
      <c r="N26" s="68">
        <f>-J26</f>
        <v>-27765799</v>
      </c>
      <c r="O26" s="96"/>
      <c r="P26" s="69">
        <f>SUM(J26:N26)</f>
        <v>0</v>
      </c>
      <c r="Y26" s="67">
        <v>0</v>
      </c>
      <c r="Z26" s="89"/>
      <c r="AB26" s="67"/>
      <c r="AE26" s="69">
        <f>SUM(P26:AC26)</f>
        <v>0</v>
      </c>
    </row>
    <row r="27" spans="1:31" ht="14.1" customHeight="1">
      <c r="F27" s="70">
        <v>2018</v>
      </c>
      <c r="H27" s="70">
        <v>1.72</v>
      </c>
      <c r="J27" s="92">
        <v>43758994</v>
      </c>
      <c r="K27" s="105"/>
      <c r="L27" s="92">
        <v>0</v>
      </c>
      <c r="M27" s="93"/>
      <c r="N27" s="92">
        <v>-25441276</v>
      </c>
      <c r="O27" s="93"/>
      <c r="P27" s="92">
        <f>SUM(J27:N27)</f>
        <v>18317718</v>
      </c>
      <c r="Y27" s="67">
        <f>-P27</f>
        <v>-18317718</v>
      </c>
      <c r="Z27" s="89">
        <v>0</v>
      </c>
      <c r="AA27" s="89"/>
      <c r="AE27" s="69">
        <f>SUM(P27:AC27)</f>
        <v>0</v>
      </c>
    </row>
    <row r="28" spans="1:31" ht="14.1" customHeight="1">
      <c r="F28" s="70">
        <v>2019</v>
      </c>
      <c r="H28" s="70">
        <v>2.64</v>
      </c>
      <c r="J28" s="92">
        <v>353028576</v>
      </c>
      <c r="K28" s="105"/>
      <c r="L28" s="92">
        <v>0</v>
      </c>
      <c r="M28" s="93"/>
      <c r="N28" s="92">
        <v>-133722946</v>
      </c>
      <c r="O28" s="93"/>
      <c r="P28" s="92">
        <f>SUM(J28:N28)</f>
        <v>219305630</v>
      </c>
      <c r="T28" s="89"/>
      <c r="Y28" s="67">
        <f>+N28</f>
        <v>-133722946</v>
      </c>
      <c r="Z28" s="89">
        <f>+Y28*0.64+1</f>
        <v>-85582684.439999998</v>
      </c>
      <c r="AA28" s="89"/>
      <c r="AB28" s="67"/>
      <c r="AE28" s="69">
        <f>SUM(P28:AB28)</f>
        <v>-0.43999999761581421</v>
      </c>
    </row>
    <row r="29" spans="1:31" ht="14.1" customHeight="1">
      <c r="F29" s="70">
        <v>2020</v>
      </c>
      <c r="H29" s="70">
        <v>3.98</v>
      </c>
      <c r="J29" s="92">
        <v>100188989</v>
      </c>
      <c r="K29" s="105"/>
      <c r="L29" s="92">
        <v>0</v>
      </c>
      <c r="M29" s="93"/>
      <c r="N29" s="92">
        <v>-25173113</v>
      </c>
      <c r="O29" s="93"/>
      <c r="P29" s="92">
        <f>SUM(J29:N29)</f>
        <v>75015876</v>
      </c>
      <c r="Y29" s="67">
        <f>+N29</f>
        <v>-25173113</v>
      </c>
      <c r="Z29" s="89">
        <f>+N29</f>
        <v>-25173113</v>
      </c>
      <c r="AA29" s="89">
        <f>+N29*0.98+1</f>
        <v>-24669649.739999998</v>
      </c>
      <c r="AB29" s="89"/>
      <c r="AC29" s="67">
        <v>0</v>
      </c>
      <c r="AE29" s="69">
        <f>SUM(P29:AC29)</f>
        <v>0.26000000163912773</v>
      </c>
    </row>
    <row r="30" spans="1:31" ht="14.1" customHeight="1">
      <c r="F30" s="70">
        <v>2022</v>
      </c>
      <c r="H30" s="70">
        <v>5.89</v>
      </c>
      <c r="J30" s="92">
        <v>0</v>
      </c>
      <c r="K30" s="105"/>
      <c r="L30" s="92">
        <v>36122262</v>
      </c>
      <c r="M30" s="93"/>
      <c r="N30" s="92">
        <v>-6132813</v>
      </c>
      <c r="O30" s="93"/>
      <c r="P30" s="92">
        <f>SUM(J30:N30)</f>
        <v>29989449</v>
      </c>
      <c r="Y30" s="67">
        <f>+N30</f>
        <v>-6132813</v>
      </c>
      <c r="Z30" s="89">
        <f>+N30</f>
        <v>-6132813</v>
      </c>
      <c r="AA30" s="89">
        <f>+N30+1</f>
        <v>-6132812</v>
      </c>
      <c r="AB30" s="89">
        <f>+AA30</f>
        <v>-6132812</v>
      </c>
      <c r="AC30" s="89">
        <f>+N30*0.89-1</f>
        <v>-5458204.5700000003</v>
      </c>
      <c r="AE30" s="69">
        <f>SUM(P30:AC30)</f>
        <v>-5.5700000002980232</v>
      </c>
    </row>
    <row r="31" spans="1:31" ht="14.1" customHeight="1">
      <c r="R31" s="69">
        <f>SUM(P26:P30)</f>
        <v>342628673</v>
      </c>
    </row>
    <row r="32" spans="1:31" ht="14.1" customHeight="1">
      <c r="A32" s="62" t="s">
        <v>319</v>
      </c>
      <c r="F32" s="70">
        <v>2017</v>
      </c>
      <c r="H32" s="70">
        <v>0.76</v>
      </c>
      <c r="J32" s="92">
        <v>126502526</v>
      </c>
      <c r="K32" s="105"/>
      <c r="L32" s="92">
        <v>0</v>
      </c>
      <c r="M32" s="93"/>
      <c r="N32" s="92">
        <f>-J32</f>
        <v>-126502526</v>
      </c>
      <c r="O32" s="93"/>
      <c r="P32" s="92">
        <f>SUM(J32:N32)</f>
        <v>0</v>
      </c>
      <c r="Y32" s="67">
        <v>0</v>
      </c>
      <c r="Z32" s="89"/>
      <c r="AB32" s="67"/>
      <c r="AE32" s="69">
        <f>SUM(P32:AC32)</f>
        <v>0</v>
      </c>
    </row>
    <row r="33" spans="1:31" ht="14.1" customHeight="1">
      <c r="F33" s="70">
        <v>2018</v>
      </c>
      <c r="H33" s="70">
        <v>1.72</v>
      </c>
      <c r="J33" s="92">
        <v>67766518</v>
      </c>
      <c r="K33" s="105"/>
      <c r="L33" s="92">
        <v>0</v>
      </c>
      <c r="M33" s="93"/>
      <c r="N33" s="92">
        <v>-39399137</v>
      </c>
      <c r="O33" s="93"/>
      <c r="P33" s="92">
        <f>SUM(J33:N33)</f>
        <v>28367381</v>
      </c>
      <c r="Y33" s="67">
        <f>-P33</f>
        <v>-28367381</v>
      </c>
      <c r="Z33" s="89"/>
      <c r="AA33" s="89"/>
      <c r="AE33" s="69">
        <f t="shared" ref="AE33:AE34" si="1">SUM(P33:AC33)</f>
        <v>0</v>
      </c>
    </row>
    <row r="34" spans="1:31" ht="14.1" customHeight="1">
      <c r="F34" s="70">
        <v>2019</v>
      </c>
      <c r="H34" s="70">
        <v>2.64</v>
      </c>
      <c r="J34" s="104">
        <v>250639319</v>
      </c>
      <c r="K34" s="105"/>
      <c r="L34" s="104">
        <v>0</v>
      </c>
      <c r="M34" s="104"/>
      <c r="N34" s="104">
        <v>-94939137</v>
      </c>
      <c r="O34" s="104"/>
      <c r="P34" s="104">
        <f>SUM(J34:N34)</f>
        <v>155700182</v>
      </c>
      <c r="Y34" s="67">
        <f>+N34</f>
        <v>-94939137</v>
      </c>
      <c r="Z34" s="89">
        <f>+Y34*0.64+3</f>
        <v>-60761044.68</v>
      </c>
      <c r="AB34" s="67"/>
      <c r="AE34" s="69">
        <f t="shared" si="1"/>
        <v>0.32000000029802322</v>
      </c>
    </row>
    <row r="35" spans="1:31" ht="14.1" customHeight="1">
      <c r="F35" s="70">
        <v>2021</v>
      </c>
      <c r="H35" s="70">
        <v>4.9800000000000004</v>
      </c>
      <c r="J35" s="93">
        <v>744669732</v>
      </c>
      <c r="K35" s="105"/>
      <c r="L35" s="93">
        <v>0</v>
      </c>
      <c r="M35" s="93"/>
      <c r="N35" s="93">
        <v>-149532075</v>
      </c>
      <c r="O35" s="93"/>
      <c r="P35" s="93">
        <f>SUM(J35:N35)</f>
        <v>595137657</v>
      </c>
      <c r="Y35" s="67">
        <f>+N35</f>
        <v>-149532075</v>
      </c>
      <c r="Z35" s="89">
        <f>+N35</f>
        <v>-149532075</v>
      </c>
      <c r="AA35" s="89">
        <f>+N35</f>
        <v>-149532075</v>
      </c>
      <c r="AB35" s="89">
        <f>+N35*0.98+1.5</f>
        <v>-146541432</v>
      </c>
      <c r="AC35" s="67">
        <v>0</v>
      </c>
      <c r="AE35" s="69">
        <f>SUM(P35:AC35)</f>
        <v>0</v>
      </c>
    </row>
    <row r="36" spans="1:31" ht="14.1" customHeight="1">
      <c r="F36" s="70">
        <v>2022</v>
      </c>
      <c r="H36" s="70">
        <v>5.89</v>
      </c>
      <c r="J36" s="91">
        <v>0</v>
      </c>
      <c r="K36" s="105"/>
      <c r="L36" s="91">
        <v>1125435751</v>
      </c>
      <c r="M36" s="93"/>
      <c r="N36" s="91">
        <v>-191075679</v>
      </c>
      <c r="O36" s="93"/>
      <c r="P36" s="91">
        <f>SUM(J36:N36)</f>
        <v>934360072</v>
      </c>
      <c r="Y36" s="67">
        <f>+N36</f>
        <v>-191075679</v>
      </c>
      <c r="Z36" s="89">
        <f>+N36</f>
        <v>-191075679</v>
      </c>
      <c r="AA36" s="89">
        <f>+N36+1</f>
        <v>-191075678</v>
      </c>
      <c r="AB36" s="89">
        <f>+AA36</f>
        <v>-191075678</v>
      </c>
      <c r="AC36" s="89">
        <f>+N36*0.89-4</f>
        <v>-170057358.31</v>
      </c>
      <c r="AE36" s="69">
        <f>SUM(P36:AC36)</f>
        <v>-0.31000000238418579</v>
      </c>
    </row>
    <row r="37" spans="1:31" ht="14.1" customHeight="1">
      <c r="J37" s="87"/>
    </row>
    <row r="38" spans="1:31" ht="14.1" customHeight="1" thickBot="1">
      <c r="A38" s="62" t="s">
        <v>323</v>
      </c>
      <c r="J38" s="86">
        <f>SUM(J26:J37)</f>
        <v>1714320453</v>
      </c>
      <c r="L38" s="86">
        <f>SUM(L26:L37)</f>
        <v>1161558013</v>
      </c>
      <c r="M38" s="69"/>
      <c r="N38" s="86">
        <f>SUM(N26:N37)</f>
        <v>-819684501</v>
      </c>
      <c r="O38" s="69"/>
      <c r="P38" s="86">
        <f>SUM(P26:P37)</f>
        <v>2056193965</v>
      </c>
      <c r="R38" s="50">
        <f>SUM('OPEB Amounts_Report'!J326:K326)-P38</f>
        <v>1</v>
      </c>
      <c r="Y38" s="89">
        <f>SUM(Y26:Y36)</f>
        <v>-647260862</v>
      </c>
      <c r="Z38" s="89">
        <f t="shared" ref="Z38:AC38" si="2">SUM(Z26:Z36)</f>
        <v>-518257409.12</v>
      </c>
      <c r="AA38" s="89">
        <f t="shared" si="2"/>
        <v>-371410214.74000001</v>
      </c>
      <c r="AB38" s="89">
        <f t="shared" si="2"/>
        <v>-343749922</v>
      </c>
      <c r="AC38" s="89">
        <f t="shared" si="2"/>
        <v>-175515562.88</v>
      </c>
    </row>
    <row r="39" spans="1:31" ht="13.5" thickTop="1"/>
    <row r="40" spans="1:31">
      <c r="X40" s="232" t="s">
        <v>384</v>
      </c>
      <c r="Y40" s="89">
        <f>+Y38-Y17</f>
        <v>-466020525</v>
      </c>
      <c r="Z40" s="89">
        <f>+Z38-Z17</f>
        <v>-338636750.12</v>
      </c>
      <c r="AA40" s="89">
        <f>+AA38-AA17</f>
        <v>-204355506.92000002</v>
      </c>
      <c r="AB40" s="89">
        <f>+AB38-AB17</f>
        <v>-308100745.84000003</v>
      </c>
      <c r="AC40" s="89">
        <f>+AC38-AC17</f>
        <v>-175515562.88</v>
      </c>
    </row>
    <row r="42" spans="1:31">
      <c r="Y42" s="67">
        <v>-465825852</v>
      </c>
      <c r="Z42" s="67">
        <v>-338512160</v>
      </c>
      <c r="AA42" s="67">
        <v>-204355507</v>
      </c>
      <c r="AB42" s="67">
        <v>-308100747</v>
      </c>
      <c r="AC42" s="67">
        <v>-175515558</v>
      </c>
    </row>
    <row r="43" spans="1:31">
      <c r="Y43" s="62" t="s">
        <v>462</v>
      </c>
    </row>
    <row r="44" spans="1:31">
      <c r="N44" s="204">
        <v>2023</v>
      </c>
      <c r="P44" s="90">
        <f>+'Amortization Tables_Report'!C326</f>
        <v>-466020524</v>
      </c>
      <c r="T44" s="233"/>
      <c r="Y44" s="45">
        <f>+Y40-Y42</f>
        <v>-194673</v>
      </c>
      <c r="Z44" s="45">
        <f t="shared" ref="Z44:AC44" si="3">+Z40-Z42</f>
        <v>-124590.12000000477</v>
      </c>
      <c r="AA44" s="45">
        <f t="shared" si="3"/>
        <v>7.9999983310699463E-2</v>
      </c>
      <c r="AB44" s="45">
        <f t="shared" si="3"/>
        <v>1.1599999666213989</v>
      </c>
      <c r="AC44" s="45">
        <f t="shared" si="3"/>
        <v>-4.8799999952316284</v>
      </c>
    </row>
    <row r="45" spans="1:31">
      <c r="N45" s="204">
        <v>2024</v>
      </c>
      <c r="P45" s="67">
        <f>+'Amortization Tables_Report'!D326</f>
        <v>-338636749</v>
      </c>
      <c r="T45" s="233"/>
    </row>
    <row r="46" spans="1:31">
      <c r="N46" s="204">
        <v>2025</v>
      </c>
      <c r="P46" s="67">
        <f>+'Amortization Tables_Report'!E326</f>
        <v>-204355507</v>
      </c>
      <c r="T46" s="233"/>
      <c r="Y46" s="87"/>
      <c r="Z46" s="87"/>
    </row>
    <row r="47" spans="1:31">
      <c r="N47" s="204">
        <v>2026</v>
      </c>
      <c r="P47" s="67">
        <f>+'Amortization Tables_Report'!F326</f>
        <v>-308100747</v>
      </c>
      <c r="T47" s="233"/>
      <c r="Y47" s="87" t="s">
        <v>463</v>
      </c>
      <c r="Z47" s="87"/>
    </row>
    <row r="48" spans="1:31">
      <c r="N48" s="204">
        <v>2027</v>
      </c>
      <c r="P48" s="77">
        <f>+'Amortization Tables_Report'!G326</f>
        <v>-175515558</v>
      </c>
      <c r="T48" s="233"/>
      <c r="Y48" s="87">
        <f>+'Amortization Tables_Report'!C326</f>
        <v>-466020524</v>
      </c>
      <c r="Z48" s="87">
        <f>+'Amortization Tables_Report'!D326</f>
        <v>-338636749</v>
      </c>
      <c r="AA48" s="87">
        <f>+'Amortization Tables_Report'!E326</f>
        <v>-204355507</v>
      </c>
      <c r="AB48" s="87">
        <f>+'Amortization Tables_Report'!F326</f>
        <v>-308100747</v>
      </c>
      <c r="AC48" s="87">
        <f>+'Amortization Tables_Report'!G326</f>
        <v>-175515558</v>
      </c>
    </row>
    <row r="49" spans="14:26" ht="13.5" customHeight="1">
      <c r="Y49" s="87"/>
      <c r="Z49" s="87"/>
    </row>
    <row r="50" spans="14:26" ht="13.5" thickBot="1">
      <c r="N50" s="62" t="s">
        <v>327</v>
      </c>
      <c r="P50" s="86">
        <f>SUM(P44:P48)</f>
        <v>-1492629085</v>
      </c>
      <c r="Y50" s="87"/>
      <c r="Z50" s="87"/>
    </row>
    <row r="51" spans="14:26" ht="13.5" thickTop="1">
      <c r="Q51" s="38"/>
      <c r="Y51" s="87"/>
      <c r="Z51" s="87"/>
    </row>
    <row r="52" spans="14:26">
      <c r="Z52" s="87"/>
    </row>
    <row r="53" spans="14:26">
      <c r="Y53" s="87"/>
      <c r="Z53" s="87"/>
    </row>
    <row r="54" spans="14:26">
      <c r="P54" s="69">
        <f>+P38-P17+P50</f>
        <v>0</v>
      </c>
      <c r="Y54" s="69"/>
      <c r="Z54" s="69"/>
    </row>
    <row r="55" spans="14:26">
      <c r="R55" s="233">
        <v>186052988</v>
      </c>
    </row>
    <row r="56" spans="14:26">
      <c r="N56" s="72"/>
      <c r="R56" s="233">
        <v>-654618985</v>
      </c>
    </row>
    <row r="58" spans="14:26" ht="4.3499999999999996" customHeight="1">
      <c r="N58" s="204"/>
      <c r="P58" s="44"/>
    </row>
    <row r="59" spans="14:26">
      <c r="N59" s="204"/>
      <c r="P59" s="46"/>
    </row>
    <row r="60" spans="14:26">
      <c r="N60" s="204"/>
      <c r="P60" s="46"/>
      <c r="R60" s="50">
        <f>-SUM(N6:N12,N15)</f>
        <v>153715340</v>
      </c>
    </row>
    <row r="61" spans="14:26">
      <c r="N61" s="204"/>
      <c r="P61" s="46"/>
      <c r="R61" s="105">
        <f>SUM(N32:N35,N26:N29)</f>
        <v>-622476009</v>
      </c>
    </row>
    <row r="62" spans="14:26">
      <c r="N62" s="204"/>
      <c r="P62" s="82"/>
      <c r="R62" s="50">
        <f>SUM(R60:R61)</f>
        <v>-468760669</v>
      </c>
    </row>
    <row r="63" spans="14:26">
      <c r="P63" s="69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08EE-58B2-4720-B5EF-731975F374BC}">
  <dimension ref="A1"/>
  <sheetViews>
    <sheetView workbookViewId="0"/>
  </sheetViews>
  <sheetFormatPr defaultColWidth="8.85546875" defaultRowHeight="15"/>
  <cols>
    <col min="1" max="16384" width="8.85546875" style="10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CB42-CDE2-433A-9268-44CF0B46744F}">
  <sheetPr>
    <tabColor rgb="FF92D050"/>
  </sheetPr>
  <dimension ref="A1:H318"/>
  <sheetViews>
    <sheetView view="pageBreakPreview" topLeftCell="A215" zoomScaleNormal="100" zoomScaleSheetLayoutView="100" workbookViewId="0">
      <selection activeCell="A234" sqref="A234:XFD234"/>
    </sheetView>
  </sheetViews>
  <sheetFormatPr defaultColWidth="9.28515625" defaultRowHeight="12.75"/>
  <cols>
    <col min="1" max="1" width="12.28515625" style="53" customWidth="1"/>
    <col min="2" max="2" width="67.7109375" style="53" customWidth="1"/>
    <col min="3" max="3" width="17.7109375" style="53" customWidth="1"/>
    <col min="4" max="4" width="15.7109375" style="53" customWidth="1"/>
    <col min="5" max="5" width="69.7109375" style="53" bestFit="1" customWidth="1"/>
    <col min="6" max="6" width="22.5703125" style="53" bestFit="1" customWidth="1"/>
    <col min="7" max="7" width="25.42578125" style="53" bestFit="1" customWidth="1"/>
    <col min="8" max="8" width="21.5703125" style="53" bestFit="1" customWidth="1"/>
    <col min="9" max="16384" width="9.28515625" style="53"/>
  </cols>
  <sheetData>
    <row r="1" spans="1:8" ht="18" customHeight="1">
      <c r="A1" s="257" t="s">
        <v>391</v>
      </c>
      <c r="B1" s="257"/>
      <c r="C1" s="257"/>
      <c r="D1" s="257"/>
    </row>
    <row r="2" spans="1:8" ht="15.75" customHeight="1">
      <c r="A2" s="258" t="s">
        <v>392</v>
      </c>
      <c r="B2" s="258"/>
      <c r="C2" s="258"/>
      <c r="D2" s="258"/>
    </row>
    <row r="3" spans="1:8" ht="15.75" customHeight="1">
      <c r="A3" s="258" t="s">
        <v>530</v>
      </c>
      <c r="B3" s="258"/>
      <c r="C3" s="258"/>
      <c r="D3" s="258"/>
    </row>
    <row r="4" spans="1:8" ht="12" customHeight="1"/>
    <row r="5" spans="1:8" ht="3.75" hidden="1" customHeight="1"/>
    <row r="6" spans="1:8" ht="44.25" customHeight="1">
      <c r="A6" s="139" t="s">
        <v>0</v>
      </c>
      <c r="B6" s="140" t="s">
        <v>1</v>
      </c>
      <c r="C6" s="139" t="s">
        <v>531</v>
      </c>
      <c r="D6" s="139" t="s">
        <v>2</v>
      </c>
    </row>
    <row r="7" spans="1:8">
      <c r="A7" s="141"/>
      <c r="B7" s="142"/>
      <c r="C7" s="141" t="s">
        <v>3</v>
      </c>
      <c r="D7" s="142" t="s">
        <v>4</v>
      </c>
    </row>
    <row r="8" spans="1:8">
      <c r="A8" s="141"/>
      <c r="B8" s="142"/>
      <c r="C8" s="141"/>
      <c r="D8" s="142"/>
    </row>
    <row r="9" spans="1:8">
      <c r="A9" s="143">
        <v>1341</v>
      </c>
      <c r="B9" s="144" t="s">
        <v>5</v>
      </c>
      <c r="C9" s="78">
        <v>24260055</v>
      </c>
      <c r="D9" s="66">
        <v>0.23881448544976333</v>
      </c>
      <c r="E9" s="145"/>
      <c r="F9" s="100">
        <f>VLOOKUP(A9,'OPEB Amounts_Report'!$A$10:$A$324,1,FALSE)</f>
        <v>1341</v>
      </c>
      <c r="G9" s="146"/>
      <c r="H9" s="25"/>
    </row>
    <row r="10" spans="1:8">
      <c r="A10" s="147">
        <v>2308</v>
      </c>
      <c r="B10" s="148" t="s">
        <v>6</v>
      </c>
      <c r="C10" s="54">
        <v>45896</v>
      </c>
      <c r="D10" s="56">
        <v>4.5179739387245157E-4</v>
      </c>
      <c r="E10" s="145"/>
      <c r="F10" s="100">
        <f>VLOOKUP(A10,'OPEB Amounts_Report'!$A$10:$A$324,1,FALSE)</f>
        <v>2308</v>
      </c>
      <c r="G10" s="146"/>
      <c r="H10" s="25"/>
    </row>
    <row r="11" spans="1:8">
      <c r="A11" s="143">
        <v>2340</v>
      </c>
      <c r="B11" s="149" t="s">
        <v>7</v>
      </c>
      <c r="C11" s="55">
        <v>40661</v>
      </c>
      <c r="D11" s="57">
        <v>4.0026437668310425E-4</v>
      </c>
      <c r="E11" s="145"/>
      <c r="F11" s="100">
        <f>VLOOKUP(A11,'OPEB Amounts_Report'!$A$10:$A$324,1,FALSE)</f>
        <v>2340</v>
      </c>
      <c r="G11" s="146"/>
      <c r="H11" s="25"/>
    </row>
    <row r="12" spans="1:8">
      <c r="A12" s="147">
        <v>1301</v>
      </c>
      <c r="B12" s="148" t="s">
        <v>8</v>
      </c>
      <c r="C12" s="54">
        <v>47620</v>
      </c>
      <c r="D12" s="56">
        <v>4.6876834356384311E-4</v>
      </c>
      <c r="E12" s="145"/>
      <c r="F12" s="100">
        <f>VLOOKUP(A12,'OPEB Amounts_Report'!$A$10:$A$324,1,FALSE)</f>
        <v>1301</v>
      </c>
      <c r="G12" s="146"/>
      <c r="H12" s="25"/>
    </row>
    <row r="13" spans="1:8">
      <c r="A13" s="143">
        <v>2390</v>
      </c>
      <c r="B13" s="149" t="s">
        <v>9</v>
      </c>
      <c r="C13" s="55">
        <v>33058</v>
      </c>
      <c r="D13" s="57">
        <v>3.2542091351393375E-4</v>
      </c>
      <c r="E13" s="145"/>
      <c r="F13" s="100">
        <f>VLOOKUP(A13,'OPEB Amounts_Report'!$A$10:$A$324,1,FALSE)</f>
        <v>2390</v>
      </c>
      <c r="G13" s="146"/>
      <c r="H13" s="25"/>
    </row>
    <row r="14" spans="1:8">
      <c r="A14" s="147">
        <v>2441</v>
      </c>
      <c r="B14" s="148" t="s">
        <v>437</v>
      </c>
      <c r="C14" s="54">
        <v>9318</v>
      </c>
      <c r="D14" s="56">
        <v>9.1725817415537391E-5</v>
      </c>
      <c r="E14" s="145"/>
      <c r="F14" s="100">
        <f>VLOOKUP(A14,'OPEB Amounts_Report'!$A$10:$A$324,1,FALSE)</f>
        <v>2441</v>
      </c>
      <c r="G14" s="146"/>
      <c r="H14" s="25"/>
    </row>
    <row r="15" spans="1:8">
      <c r="A15" s="143">
        <v>15046</v>
      </c>
      <c r="B15" s="149" t="s">
        <v>10</v>
      </c>
      <c r="C15" s="55">
        <v>682780</v>
      </c>
      <c r="D15" s="57">
        <v>6.7212442171045951E-3</v>
      </c>
      <c r="E15" s="145"/>
      <c r="F15" s="100">
        <f>VLOOKUP(A15,'OPEB Amounts_Report'!$A$10:$A$324,1,FALSE)</f>
        <v>15046</v>
      </c>
      <c r="G15" s="146"/>
      <c r="H15" s="25"/>
    </row>
    <row r="16" spans="1:8">
      <c r="A16" s="147">
        <v>4380</v>
      </c>
      <c r="B16" s="148" t="s">
        <v>11</v>
      </c>
      <c r="C16" s="54">
        <v>711421</v>
      </c>
      <c r="D16" s="56">
        <v>7.0031844549880897E-3</v>
      </c>
      <c r="E16" s="145"/>
      <c r="F16" s="100">
        <f>VLOOKUP(A16,'OPEB Amounts_Report'!$A$10:$A$324,1,FALSE)</f>
        <v>4380</v>
      </c>
      <c r="G16" s="146"/>
      <c r="H16" s="25"/>
    </row>
    <row r="17" spans="1:8">
      <c r="A17" s="143">
        <v>2343</v>
      </c>
      <c r="B17" s="149" t="s">
        <v>438</v>
      </c>
      <c r="C17" s="55">
        <v>44273</v>
      </c>
      <c r="D17" s="57">
        <v>4.3582068195300352E-4</v>
      </c>
      <c r="E17" s="145"/>
      <c r="F17" s="100">
        <f>VLOOKUP(A17,'OPEB Amounts_Report'!$A$10:$A$324,1,FALSE)</f>
        <v>2343</v>
      </c>
      <c r="G17" s="146"/>
      <c r="H17" s="25"/>
    </row>
    <row r="18" spans="1:8">
      <c r="A18" s="147">
        <v>2435</v>
      </c>
      <c r="B18" s="148" t="s">
        <v>408</v>
      </c>
      <c r="C18" s="54">
        <v>19070</v>
      </c>
      <c r="D18" s="56">
        <v>1.8772390406893087E-4</v>
      </c>
      <c r="E18" s="145"/>
      <c r="F18" s="100">
        <f>VLOOKUP(A18,'OPEB Amounts_Report'!$A$10:$A$324,1,FALSE)</f>
        <v>2435</v>
      </c>
      <c r="G18" s="146"/>
      <c r="H18" s="25"/>
    </row>
    <row r="19" spans="1:8">
      <c r="A19" s="143">
        <v>4560</v>
      </c>
      <c r="B19" s="149" t="s">
        <v>12</v>
      </c>
      <c r="C19" s="55">
        <v>59484</v>
      </c>
      <c r="D19" s="57">
        <v>5.855568279830249E-4</v>
      </c>
      <c r="E19" s="145"/>
      <c r="F19" s="100">
        <f>VLOOKUP(A19,'OPEB Amounts_Report'!$A$10:$A$324,1,FALSE)</f>
        <v>4560</v>
      </c>
      <c r="G19" s="146"/>
      <c r="H19" s="25"/>
    </row>
    <row r="20" spans="1:8">
      <c r="A20" s="147">
        <v>2341</v>
      </c>
      <c r="B20" s="148" t="s">
        <v>434</v>
      </c>
      <c r="C20" s="54">
        <v>37473</v>
      </c>
      <c r="D20" s="56">
        <v>3.6888190126770038E-4</v>
      </c>
      <c r="E20" s="145"/>
      <c r="F20" s="100">
        <f>VLOOKUP(A20,'OPEB Amounts_Report'!$A$10:$A$324,1,FALSE)</f>
        <v>2341</v>
      </c>
      <c r="G20" s="146"/>
      <c r="H20" s="25"/>
    </row>
    <row r="21" spans="1:8">
      <c r="A21" s="143">
        <v>4580</v>
      </c>
      <c r="B21" s="149" t="s">
        <v>409</v>
      </c>
      <c r="C21" s="55">
        <v>32945</v>
      </c>
      <c r="D21" s="57">
        <v>3.2430854848195743E-4</v>
      </c>
      <c r="E21" s="145"/>
      <c r="F21" s="100">
        <f>VLOOKUP(A21,'OPEB Amounts_Report'!$A$10:$A$324,1,FALSE)</f>
        <v>4580</v>
      </c>
      <c r="G21" s="146"/>
      <c r="H21" s="25"/>
    </row>
    <row r="22" spans="1:8">
      <c r="A22" s="147">
        <v>2003</v>
      </c>
      <c r="B22" s="148" t="s">
        <v>13</v>
      </c>
      <c r="C22" s="54">
        <v>11622931</v>
      </c>
      <c r="D22" s="56">
        <v>0.11441541604844273</v>
      </c>
      <c r="E22" s="145"/>
      <c r="F22" s="100">
        <f>VLOOKUP(A22,'OPEB Amounts_Report'!$A$10:$A$324,1,FALSE)</f>
        <v>2003</v>
      </c>
      <c r="G22" s="146"/>
      <c r="H22" s="25"/>
    </row>
    <row r="23" spans="1:8">
      <c r="A23" s="143">
        <v>2412</v>
      </c>
      <c r="B23" s="149" t="s">
        <v>14</v>
      </c>
      <c r="C23" s="55">
        <v>106143</v>
      </c>
      <c r="D23" s="57">
        <v>1.0448651468059008E-3</v>
      </c>
      <c r="E23" s="145"/>
      <c r="F23" s="100">
        <f>VLOOKUP(A23,'OPEB Amounts_Report'!$A$10:$A$324,1,FALSE)</f>
        <v>2412</v>
      </c>
      <c r="G23" s="146"/>
      <c r="H23" s="25"/>
    </row>
    <row r="24" spans="1:8">
      <c r="A24" s="147">
        <v>2402</v>
      </c>
      <c r="B24" s="148" t="s">
        <v>15</v>
      </c>
      <c r="C24" s="54">
        <v>36852</v>
      </c>
      <c r="D24" s="56">
        <v>3.6276881556099848E-4</v>
      </c>
      <c r="E24" s="145"/>
      <c r="F24" s="100">
        <f>VLOOKUP(A24,'OPEB Amounts_Report'!$A$10:$A$324,1,FALSE)</f>
        <v>2402</v>
      </c>
      <c r="G24" s="146"/>
      <c r="H24" s="25"/>
    </row>
    <row r="25" spans="1:8">
      <c r="A25" s="143">
        <v>2361</v>
      </c>
      <c r="B25" s="149" t="s">
        <v>16</v>
      </c>
      <c r="C25" s="55">
        <v>22875</v>
      </c>
      <c r="D25" s="57">
        <v>2.251800894376924E-4</v>
      </c>
      <c r="E25" s="145"/>
      <c r="F25" s="100">
        <f>VLOOKUP(A25,'OPEB Amounts_Report'!$A$10:$A$324,1,FALSE)</f>
        <v>2361</v>
      </c>
      <c r="G25" s="146"/>
      <c r="H25" s="25"/>
    </row>
    <row r="26" spans="1:8">
      <c r="A26" s="147">
        <v>8347</v>
      </c>
      <c r="B26" s="148" t="s">
        <v>17</v>
      </c>
      <c r="C26" s="54">
        <v>26777</v>
      </c>
      <c r="D26" s="56">
        <v>2.6359113682505306E-4</v>
      </c>
      <c r="E26" s="145"/>
      <c r="F26" s="100">
        <f>VLOOKUP(A26,'OPEB Amounts_Report'!$A$10:$A$324,1,FALSE)</f>
        <v>8347</v>
      </c>
      <c r="G26" s="146"/>
      <c r="H26" s="25"/>
    </row>
    <row r="27" spans="1:8">
      <c r="A27" s="143">
        <v>2356</v>
      </c>
      <c r="B27" s="149" t="s">
        <v>18</v>
      </c>
      <c r="C27" s="55">
        <v>59590</v>
      </c>
      <c r="D27" s="57">
        <v>5.8660028544664869E-4</v>
      </c>
      <c r="E27" s="145"/>
      <c r="F27" s="100">
        <f>VLOOKUP(A27,'OPEB Amounts_Report'!$A$10:$A$324,1,FALSE)</f>
        <v>2356</v>
      </c>
      <c r="G27" s="146"/>
      <c r="H27" s="25"/>
    </row>
    <row r="28" spans="1:8">
      <c r="A28" s="147">
        <v>7335</v>
      </c>
      <c r="B28" s="148" t="s">
        <v>19</v>
      </c>
      <c r="C28" s="54">
        <v>27134</v>
      </c>
      <c r="D28" s="56">
        <v>2.6710542281103148E-4</v>
      </c>
      <c r="E28" s="145"/>
      <c r="F28" s="100">
        <f>VLOOKUP(A28,'OPEB Amounts_Report'!$A$10:$A$324,1,FALSE)</f>
        <v>7335</v>
      </c>
      <c r="G28" s="146"/>
      <c r="H28" s="25"/>
    </row>
    <row r="29" spans="1:8">
      <c r="A29" s="143">
        <v>575</v>
      </c>
      <c r="B29" s="149" t="s">
        <v>410</v>
      </c>
      <c r="C29" s="55">
        <v>20368</v>
      </c>
      <c r="D29" s="57">
        <v>2.005013360291549E-4</v>
      </c>
      <c r="E29" s="145"/>
      <c r="F29" s="100">
        <f>VLOOKUP(A29,'OPEB Amounts_Report'!$A$10:$A$324,1,FALSE)</f>
        <v>575</v>
      </c>
      <c r="G29" s="146"/>
      <c r="H29" s="25"/>
    </row>
    <row r="30" spans="1:8">
      <c r="A30" s="147">
        <v>2303</v>
      </c>
      <c r="B30" s="148" t="s">
        <v>20</v>
      </c>
      <c r="C30" s="54">
        <v>42443</v>
      </c>
      <c r="D30" s="56">
        <v>4.1780627479798813E-4</v>
      </c>
      <c r="E30" s="145"/>
      <c r="F30" s="100">
        <f>VLOOKUP(A30,'OPEB Amounts_Report'!$A$10:$A$324,1,FALSE)</f>
        <v>2303</v>
      </c>
      <c r="G30" s="146"/>
      <c r="H30" s="25"/>
    </row>
    <row r="31" spans="1:8">
      <c r="A31" s="143">
        <v>20316</v>
      </c>
      <c r="B31" s="149" t="s">
        <v>21</v>
      </c>
      <c r="C31" s="55">
        <v>26707</v>
      </c>
      <c r="D31" s="57">
        <v>2.629020611415279E-4</v>
      </c>
      <c r="E31" s="145"/>
      <c r="F31" s="100">
        <f>VLOOKUP(A31,'OPEB Amounts_Report'!$A$10:$A$324,1,FALSE)</f>
        <v>20316</v>
      </c>
      <c r="G31" s="146"/>
      <c r="H31" s="25"/>
    </row>
    <row r="32" spans="1:8">
      <c r="A32" s="147">
        <v>23121</v>
      </c>
      <c r="B32" s="148" t="s">
        <v>22</v>
      </c>
      <c r="C32" s="54">
        <v>31152</v>
      </c>
      <c r="D32" s="56">
        <v>3.0665836704537675E-4</v>
      </c>
      <c r="E32" s="145"/>
      <c r="F32" s="100">
        <f>VLOOKUP(A32,'OPEB Amounts_Report'!$A$10:$A$324,1,FALSE)</f>
        <v>23121</v>
      </c>
      <c r="G32" s="146"/>
      <c r="H32" s="25"/>
    </row>
    <row r="33" spans="1:8">
      <c r="A33" s="143">
        <v>3004</v>
      </c>
      <c r="B33" s="149" t="s">
        <v>23</v>
      </c>
      <c r="C33" s="55">
        <v>486745</v>
      </c>
      <c r="D33" s="57">
        <v>4.7914877653923316E-3</v>
      </c>
      <c r="E33" s="145"/>
      <c r="F33" s="100">
        <f>VLOOKUP(A33,'OPEB Amounts_Report'!$A$10:$A$324,1,FALSE)</f>
        <v>3004</v>
      </c>
      <c r="G33" s="146"/>
      <c r="H33" s="25"/>
    </row>
    <row r="34" spans="1:8">
      <c r="A34" s="147">
        <v>16050</v>
      </c>
      <c r="B34" s="148" t="s">
        <v>24</v>
      </c>
      <c r="C34" s="54">
        <v>334471</v>
      </c>
      <c r="D34" s="56">
        <v>3.2925118992050014E-3</v>
      </c>
      <c r="E34" s="145"/>
      <c r="F34" s="100">
        <f>VLOOKUP(A34,'OPEB Amounts_Report'!$A$10:$A$324,1,FALSE)</f>
        <v>16050</v>
      </c>
      <c r="G34" s="146"/>
      <c r="H34" s="25"/>
    </row>
    <row r="35" spans="1:8">
      <c r="A35" s="143">
        <v>14043</v>
      </c>
      <c r="B35" s="149" t="s">
        <v>25</v>
      </c>
      <c r="C35" s="55">
        <v>484971</v>
      </c>
      <c r="D35" s="57">
        <v>4.7740246187841359E-3</v>
      </c>
      <c r="E35" s="145"/>
      <c r="F35" s="100">
        <f>VLOOKUP(A35,'OPEB Amounts_Report'!$A$10:$A$324,1,FALSE)</f>
        <v>14043</v>
      </c>
      <c r="G35" s="146"/>
      <c r="H35" s="25"/>
    </row>
    <row r="36" spans="1:8">
      <c r="A36" s="147">
        <v>3010</v>
      </c>
      <c r="B36" s="148" t="s">
        <v>26</v>
      </c>
      <c r="C36" s="54">
        <v>2869843</v>
      </c>
      <c r="D36" s="56">
        <v>2.8250557526213572E-2</v>
      </c>
      <c r="E36" s="145"/>
      <c r="F36" s="100">
        <f>VLOOKUP(A36,'OPEB Amounts_Report'!$A$10:$A$324,1,FALSE)</f>
        <v>3010</v>
      </c>
      <c r="G36" s="146"/>
      <c r="H36" s="25"/>
    </row>
    <row r="37" spans="1:8">
      <c r="A37" s="143">
        <v>29086</v>
      </c>
      <c r="B37" s="149" t="s">
        <v>27</v>
      </c>
      <c r="C37" s="55">
        <v>437020</v>
      </c>
      <c r="D37" s="57">
        <v>4.3019979316310528E-3</v>
      </c>
      <c r="E37" s="145"/>
      <c r="F37" s="100">
        <f>VLOOKUP(A37,'OPEB Amounts_Report'!$A$10:$A$324,1,FALSE)</f>
        <v>29086</v>
      </c>
      <c r="G37" s="146"/>
      <c r="H37" s="25"/>
    </row>
    <row r="38" spans="1:8">
      <c r="A38" s="147">
        <v>16051</v>
      </c>
      <c r="B38" s="148" t="s">
        <v>28</v>
      </c>
      <c r="C38" s="54">
        <v>371987</v>
      </c>
      <c r="D38" s="56">
        <v>3.6618170898211531E-3</v>
      </c>
      <c r="E38" s="145"/>
      <c r="F38" s="100">
        <f>VLOOKUP(A38,'OPEB Amounts_Report'!$A$10:$A$324,1,FALSE)</f>
        <v>16051</v>
      </c>
      <c r="G38" s="146"/>
      <c r="H38" s="25"/>
    </row>
    <row r="39" spans="1:8">
      <c r="A39" s="143">
        <v>26077</v>
      </c>
      <c r="B39" s="149" t="s">
        <v>29</v>
      </c>
      <c r="C39" s="55">
        <v>73673</v>
      </c>
      <c r="D39" s="57">
        <v>7.252324690335786E-4</v>
      </c>
      <c r="E39" s="145"/>
      <c r="F39" s="100">
        <f>VLOOKUP(A39,'OPEB Amounts_Report'!$A$10:$A$324,1,FALSE)</f>
        <v>26077</v>
      </c>
      <c r="G39" s="146"/>
      <c r="H39" s="25"/>
    </row>
    <row r="40" spans="1:8">
      <c r="A40" s="147">
        <v>3005</v>
      </c>
      <c r="B40" s="148" t="s">
        <v>30</v>
      </c>
      <c r="C40" s="54">
        <v>862280</v>
      </c>
      <c r="D40" s="56">
        <v>8.4882311484298749E-3</v>
      </c>
      <c r="E40" s="145"/>
      <c r="F40" s="100">
        <f>VLOOKUP(A40,'OPEB Amounts_Report'!$A$10:$A$324,1,FALSE)</f>
        <v>3005</v>
      </c>
      <c r="G40" s="146"/>
      <c r="H40" s="25"/>
    </row>
    <row r="41" spans="1:8">
      <c r="A41" s="143">
        <v>26078</v>
      </c>
      <c r="B41" s="149" t="s">
        <v>31</v>
      </c>
      <c r="C41" s="55">
        <v>29906</v>
      </c>
      <c r="D41" s="57">
        <v>2.9439281987862857E-4</v>
      </c>
      <c r="E41" s="145"/>
      <c r="F41" s="100">
        <f>VLOOKUP(A41,'OPEB Amounts_Report'!$A$10:$A$324,1,FALSE)</f>
        <v>26078</v>
      </c>
      <c r="G41" s="146"/>
      <c r="H41" s="25"/>
    </row>
    <row r="42" spans="1:8">
      <c r="A42" s="147">
        <v>16053</v>
      </c>
      <c r="B42" s="148" t="s">
        <v>32</v>
      </c>
      <c r="C42" s="54">
        <v>921494</v>
      </c>
      <c r="D42" s="56">
        <v>9.0711301130621605E-3</v>
      </c>
      <c r="E42" s="145"/>
      <c r="F42" s="100">
        <f>VLOOKUP(A42,'OPEB Amounts_Report'!$A$10:$A$324,1,FALSE)</f>
        <v>16053</v>
      </c>
      <c r="G42" s="146"/>
      <c r="H42" s="25"/>
    </row>
    <row r="43" spans="1:8">
      <c r="A43" s="143">
        <v>2123</v>
      </c>
      <c r="B43" s="149" t="s">
        <v>33</v>
      </c>
      <c r="C43" s="55">
        <v>1774347</v>
      </c>
      <c r="D43" s="57">
        <v>1.7466562454797864E-2</v>
      </c>
      <c r="E43" s="145"/>
      <c r="F43" s="100">
        <f>VLOOKUP(A43,'OPEB Amounts_Report'!$A$10:$A$324,1,FALSE)</f>
        <v>2123</v>
      </c>
      <c r="G43" s="146"/>
      <c r="H43" s="25"/>
    </row>
    <row r="44" spans="1:8">
      <c r="A44" s="147">
        <v>2150</v>
      </c>
      <c r="B44" s="148" t="s">
        <v>34</v>
      </c>
      <c r="C44" s="54">
        <v>78895</v>
      </c>
      <c r="D44" s="56">
        <v>7.7663751502455702E-4</v>
      </c>
      <c r="E44" s="145"/>
      <c r="F44" s="100">
        <f>VLOOKUP(A44,'OPEB Amounts_Report'!$A$10:$A$324,1,FALSE)</f>
        <v>2150</v>
      </c>
      <c r="G44" s="146"/>
      <c r="H44" s="25"/>
    </row>
    <row r="45" spans="1:8">
      <c r="A45" s="143">
        <v>2336</v>
      </c>
      <c r="B45" s="149" t="s">
        <v>35</v>
      </c>
      <c r="C45" s="55">
        <v>23523</v>
      </c>
      <c r="D45" s="57">
        <v>2.3155896147946834E-4</v>
      </c>
      <c r="E45" s="145"/>
      <c r="F45" s="100">
        <f>VLOOKUP(A45,'OPEB Amounts_Report'!$A$10:$A$324,1,FALSE)</f>
        <v>2336</v>
      </c>
      <c r="G45" s="146"/>
      <c r="H45" s="25"/>
    </row>
    <row r="46" spans="1:8">
      <c r="A46" s="147">
        <v>17126</v>
      </c>
      <c r="B46" s="148" t="s">
        <v>36</v>
      </c>
      <c r="C46" s="54">
        <v>69237</v>
      </c>
      <c r="D46" s="56">
        <v>6.815647585747544E-4</v>
      </c>
      <c r="E46" s="145"/>
      <c r="F46" s="100">
        <f>VLOOKUP(A46,'OPEB Amounts_Report'!$A$10:$A$324,1,FALSE)</f>
        <v>17126</v>
      </c>
      <c r="G46" s="146"/>
      <c r="H46" s="25"/>
    </row>
    <row r="47" spans="1:8">
      <c r="A47" s="143">
        <v>3030</v>
      </c>
      <c r="B47" s="149" t="s">
        <v>37</v>
      </c>
      <c r="C47" s="55">
        <v>197312</v>
      </c>
      <c r="D47" s="57">
        <v>1.9423271609674299E-3</v>
      </c>
      <c r="E47" s="145"/>
      <c r="F47" s="100">
        <f>VLOOKUP(A47,'OPEB Amounts_Report'!$A$10:$A$324,1,FALSE)</f>
        <v>3030</v>
      </c>
      <c r="G47" s="146"/>
      <c r="H47" s="25"/>
    </row>
    <row r="48" spans="1:8">
      <c r="A48" s="147">
        <v>2353</v>
      </c>
      <c r="B48" s="148" t="s">
        <v>38</v>
      </c>
      <c r="C48" s="54">
        <v>64551</v>
      </c>
      <c r="D48" s="56">
        <v>6.3543606353191179E-4</v>
      </c>
      <c r="E48" s="145"/>
      <c r="F48" s="100">
        <f>VLOOKUP(A48,'OPEB Amounts_Report'!$A$10:$A$324,1,FALSE)</f>
        <v>2353</v>
      </c>
      <c r="G48" s="146"/>
      <c r="H48" s="25"/>
    </row>
    <row r="49" spans="1:8">
      <c r="A49" s="143">
        <v>3040</v>
      </c>
      <c r="B49" s="149" t="s">
        <v>39</v>
      </c>
      <c r="C49" s="55">
        <v>77177</v>
      </c>
      <c r="D49" s="57">
        <v>7.5972562896318193E-4</v>
      </c>
      <c r="E49" s="145"/>
      <c r="F49" s="100">
        <f>VLOOKUP(A49,'OPEB Amounts_Report'!$A$10:$A$324,1,FALSE)</f>
        <v>3040</v>
      </c>
      <c r="G49" s="146"/>
      <c r="H49" s="25"/>
    </row>
    <row r="50" spans="1:8">
      <c r="A50" s="147">
        <v>2367</v>
      </c>
      <c r="B50" s="148" t="s">
        <v>40</v>
      </c>
      <c r="C50" s="54">
        <v>54791</v>
      </c>
      <c r="D50" s="56">
        <v>5.393592253718297E-4</v>
      </c>
      <c r="E50" s="145"/>
      <c r="F50" s="100">
        <f>VLOOKUP(A50,'OPEB Amounts_Report'!$A$10:$A$324,1,FALSE)</f>
        <v>2367</v>
      </c>
      <c r="G50" s="146"/>
      <c r="H50" s="25"/>
    </row>
    <row r="51" spans="1:8">
      <c r="A51" s="143">
        <v>9027</v>
      </c>
      <c r="B51" s="149" t="s">
        <v>41</v>
      </c>
      <c r="C51" s="55">
        <v>76608</v>
      </c>
      <c r="D51" s="57">
        <v>7.5412442804995573E-4</v>
      </c>
      <c r="E51" s="145"/>
      <c r="F51" s="100">
        <f>VLOOKUP(A51,'OPEB Amounts_Report'!$A$10:$A$324,1,FALSE)</f>
        <v>9027</v>
      </c>
      <c r="G51" s="146"/>
      <c r="H51" s="25"/>
    </row>
    <row r="52" spans="1:8">
      <c r="A52" s="147">
        <v>2010</v>
      </c>
      <c r="B52" s="148" t="s">
        <v>42</v>
      </c>
      <c r="C52" s="54">
        <v>277037</v>
      </c>
      <c r="D52" s="56">
        <v>2.7271351448109283E-3</v>
      </c>
      <c r="E52" s="145"/>
      <c r="F52" s="100">
        <f>VLOOKUP(A52,'OPEB Amounts_Report'!$A$10:$A$324,1,FALSE)</f>
        <v>2010</v>
      </c>
      <c r="G52" s="146"/>
      <c r="H52" s="25"/>
    </row>
    <row r="53" spans="1:8">
      <c r="A53" s="143">
        <v>2020</v>
      </c>
      <c r="B53" s="149" t="s">
        <v>43</v>
      </c>
      <c r="C53" s="55">
        <v>6925210</v>
      </c>
      <c r="D53" s="57">
        <v>6.8171340204362912E-2</v>
      </c>
      <c r="E53" s="145"/>
      <c r="F53" s="100">
        <f>VLOOKUP(A53,'OPEB Amounts_Report'!$A$10:$A$324,1,FALSE)</f>
        <v>2020</v>
      </c>
      <c r="G53" s="146"/>
      <c r="H53" s="25"/>
    </row>
    <row r="54" spans="1:8">
      <c r="A54" s="147">
        <v>2040</v>
      </c>
      <c r="B54" s="148" t="s">
        <v>44</v>
      </c>
      <c r="C54" s="54">
        <v>95466</v>
      </c>
      <c r="D54" s="56">
        <v>9.3976141719163899E-4</v>
      </c>
      <c r="E54" s="145"/>
      <c r="F54" s="100">
        <f>VLOOKUP(A54,'OPEB Amounts_Report'!$A$10:$A$324,1,FALSE)</f>
        <v>2040</v>
      </c>
      <c r="G54" s="146"/>
      <c r="H54" s="25"/>
    </row>
    <row r="55" spans="1:8">
      <c r="A55" s="143">
        <v>2060</v>
      </c>
      <c r="B55" s="149" t="s">
        <v>45</v>
      </c>
      <c r="C55" s="55">
        <v>102362</v>
      </c>
      <c r="D55" s="57">
        <v>1.0076452159572052E-3</v>
      </c>
      <c r="E55" s="145"/>
      <c r="F55" s="100">
        <f>VLOOKUP(A55,'OPEB Amounts_Report'!$A$10:$A$324,1,FALSE)</f>
        <v>2060</v>
      </c>
      <c r="G55" s="146"/>
      <c r="H55" s="25"/>
    </row>
    <row r="56" spans="1:8">
      <c r="A56" s="147">
        <v>2090</v>
      </c>
      <c r="B56" s="148" t="s">
        <v>46</v>
      </c>
      <c r="C56" s="54">
        <v>76362</v>
      </c>
      <c r="D56" s="56">
        <v>7.5170281921928153E-4</v>
      </c>
      <c r="E56" s="145"/>
      <c r="F56" s="100">
        <f>VLOOKUP(A56,'OPEB Amounts_Report'!$A$10:$A$324,1,FALSE)</f>
        <v>2090</v>
      </c>
      <c r="G56" s="146"/>
      <c r="H56" s="25"/>
    </row>
    <row r="57" spans="1:8">
      <c r="A57" s="143">
        <v>2110</v>
      </c>
      <c r="B57" s="144" t="s">
        <v>47</v>
      </c>
      <c r="C57" s="107">
        <v>611655</v>
      </c>
      <c r="D57" s="66">
        <v>6.0210941029513326E-3</v>
      </c>
      <c r="E57" s="145"/>
      <c r="F57" s="100">
        <f>VLOOKUP(A57,'OPEB Amounts_Report'!$A$10:$A$324,1,FALSE)</f>
        <v>2110</v>
      </c>
      <c r="G57" s="146"/>
      <c r="H57" s="25"/>
    </row>
    <row r="58" spans="1:8">
      <c r="A58" s="147">
        <v>2180</v>
      </c>
      <c r="B58" s="148" t="s">
        <v>48</v>
      </c>
      <c r="C58" s="54">
        <v>291818</v>
      </c>
      <c r="D58" s="56">
        <v>2.872638397356438E-3</v>
      </c>
      <c r="E58" s="145"/>
      <c r="F58" s="100">
        <f>VLOOKUP(A58,'OPEB Amounts_Report'!$A$10:$A$324,1,FALSE)</f>
        <v>2180</v>
      </c>
      <c r="G58" s="146"/>
      <c r="H58" s="25"/>
    </row>
    <row r="59" spans="1:8">
      <c r="A59" s="143">
        <v>2210</v>
      </c>
      <c r="B59" s="149" t="s">
        <v>49</v>
      </c>
      <c r="C59" s="55">
        <v>128903</v>
      </c>
      <c r="D59" s="57">
        <v>1.2689131833349449E-3</v>
      </c>
      <c r="E59" s="145"/>
      <c r="F59" s="100">
        <f>VLOOKUP(A59,'OPEB Amounts_Report'!$A$10:$A$324,1,FALSE)</f>
        <v>2210</v>
      </c>
      <c r="G59" s="146"/>
      <c r="H59" s="25"/>
    </row>
    <row r="60" spans="1:8">
      <c r="A60" s="147">
        <v>2290</v>
      </c>
      <c r="B60" s="148" t="s">
        <v>50</v>
      </c>
      <c r="C60" s="54">
        <v>134098</v>
      </c>
      <c r="D60" s="56">
        <v>1.3200524429908492E-3</v>
      </c>
      <c r="E60" s="145"/>
      <c r="F60" s="100">
        <f>VLOOKUP(A60,'OPEB Amounts_Report'!$A$10:$A$324,1,FALSE)</f>
        <v>2290</v>
      </c>
      <c r="G60" s="146"/>
      <c r="H60" s="25"/>
    </row>
    <row r="61" spans="1:8">
      <c r="A61" s="143">
        <v>2310</v>
      </c>
      <c r="B61" s="149" t="s">
        <v>51</v>
      </c>
      <c r="C61" s="55">
        <v>938440</v>
      </c>
      <c r="D61" s="57">
        <v>9.2379454921052689E-3</v>
      </c>
      <c r="E61" s="145"/>
      <c r="F61" s="100">
        <f>VLOOKUP(A61,'OPEB Amounts_Report'!$A$10:$A$324,1,FALSE)</f>
        <v>2310</v>
      </c>
      <c r="G61" s="146"/>
      <c r="H61" s="25"/>
    </row>
    <row r="62" spans="1:8">
      <c r="A62" s="147">
        <v>2330</v>
      </c>
      <c r="B62" s="148" t="s">
        <v>52</v>
      </c>
      <c r="C62" s="54">
        <v>334382</v>
      </c>
      <c r="D62" s="56">
        <v>3.2916357886930911E-3</v>
      </c>
      <c r="E62" s="145"/>
      <c r="F62" s="100">
        <f>VLOOKUP(A62,'OPEB Amounts_Report'!$A$10:$A$324,1,FALSE)</f>
        <v>2330</v>
      </c>
      <c r="G62" s="146"/>
      <c r="H62" s="25"/>
    </row>
    <row r="63" spans="1:8">
      <c r="A63" s="143">
        <v>2380</v>
      </c>
      <c r="B63" s="149" t="s">
        <v>53</v>
      </c>
      <c r="C63" s="55">
        <v>50781</v>
      </c>
      <c r="D63" s="57">
        <v>4.99885032644173E-4</v>
      </c>
      <c r="E63" s="145"/>
      <c r="F63" s="100">
        <f>VLOOKUP(A63,'OPEB Amounts_Report'!$A$10:$A$324,1,FALSE)</f>
        <v>2380</v>
      </c>
      <c r="G63" s="146"/>
      <c r="H63" s="25"/>
    </row>
    <row r="64" spans="1:8">
      <c r="A64" s="147">
        <v>2400</v>
      </c>
      <c r="B64" s="148" t="s">
        <v>54</v>
      </c>
      <c r="C64" s="54">
        <v>1622162</v>
      </c>
      <c r="D64" s="56">
        <v>1.5968462699122447E-2</v>
      </c>
      <c r="E64" s="145"/>
      <c r="F64" s="100">
        <f>VLOOKUP(A64,'OPEB Amounts_Report'!$A$10:$A$324,1,FALSE)</f>
        <v>2400</v>
      </c>
      <c r="G64" s="146"/>
      <c r="H64" s="25"/>
    </row>
    <row r="65" spans="1:8">
      <c r="A65" s="143">
        <v>2410</v>
      </c>
      <c r="B65" s="149" t="s">
        <v>55</v>
      </c>
      <c r="C65" s="55">
        <v>198103</v>
      </c>
      <c r="D65" s="57">
        <v>1.9501137161912646E-3</v>
      </c>
      <c r="E65" s="145"/>
      <c r="F65" s="100">
        <f>VLOOKUP(A65,'OPEB Amounts_Report'!$A$10:$A$324,1,FALSE)</f>
        <v>2410</v>
      </c>
      <c r="G65" s="146"/>
      <c r="H65" s="25"/>
    </row>
    <row r="66" spans="1:8">
      <c r="A66" s="147">
        <v>2500</v>
      </c>
      <c r="B66" s="148" t="s">
        <v>56</v>
      </c>
      <c r="C66" s="54">
        <v>31740</v>
      </c>
      <c r="D66" s="56">
        <v>3.1244660278698826E-4</v>
      </c>
      <c r="E66" s="145"/>
      <c r="F66" s="100">
        <f>VLOOKUP(A66,'OPEB Amounts_Report'!$A$10:$A$324,1,FALSE)</f>
        <v>2500</v>
      </c>
      <c r="G66" s="146"/>
      <c r="H66" s="25"/>
    </row>
    <row r="67" spans="1:8">
      <c r="A67" s="143">
        <v>2550</v>
      </c>
      <c r="B67" s="149" t="s">
        <v>57</v>
      </c>
      <c r="C67" s="55">
        <v>118918</v>
      </c>
      <c r="D67" s="57">
        <v>1.170621459049246E-3</v>
      </c>
      <c r="E67" s="145"/>
      <c r="F67" s="100">
        <f>VLOOKUP(A67,'OPEB Amounts_Report'!$A$10:$A$324,1,FALSE)</f>
        <v>2550</v>
      </c>
      <c r="G67" s="146"/>
      <c r="H67" s="25"/>
    </row>
    <row r="68" spans="1:8">
      <c r="A68" s="147">
        <v>2570</v>
      </c>
      <c r="B68" s="148" t="s">
        <v>58</v>
      </c>
      <c r="C68" s="54">
        <v>73712</v>
      </c>
      <c r="D68" s="56">
        <v>7.2561638262868557E-4</v>
      </c>
      <c r="E68" s="145"/>
      <c r="F68" s="100">
        <f>VLOOKUP(A68,'OPEB Amounts_Report'!$A$10:$A$324,1,FALSE)</f>
        <v>2570</v>
      </c>
      <c r="G68" s="146"/>
      <c r="H68" s="25"/>
    </row>
    <row r="69" spans="1:8">
      <c r="A69" s="143">
        <v>2620</v>
      </c>
      <c r="B69" s="149" t="s">
        <v>59</v>
      </c>
      <c r="C69" s="55">
        <v>705775</v>
      </c>
      <c r="D69" s="57">
        <v>6.9476055791426166E-3</v>
      </c>
      <c r="E69" s="145"/>
      <c r="F69" s="100">
        <f>VLOOKUP(A69,'OPEB Amounts_Report'!$A$10:$A$324,1,FALSE)</f>
        <v>2620</v>
      </c>
      <c r="G69" s="146"/>
      <c r="H69" s="25"/>
    </row>
    <row r="70" spans="1:8">
      <c r="A70" s="147">
        <v>2630</v>
      </c>
      <c r="B70" s="148" t="s">
        <v>60</v>
      </c>
      <c r="C70" s="54">
        <v>603974</v>
      </c>
      <c r="D70" s="56">
        <v>5.9454828125919488E-3</v>
      </c>
      <c r="E70" s="145"/>
      <c r="F70" s="100">
        <f>VLOOKUP(A70,'OPEB Amounts_Report'!$A$10:$A$324,1,FALSE)</f>
        <v>2630</v>
      </c>
      <c r="G70" s="146"/>
      <c r="H70" s="25"/>
    </row>
    <row r="71" spans="1:8">
      <c r="A71" s="143">
        <v>2690</v>
      </c>
      <c r="B71" s="149" t="s">
        <v>61</v>
      </c>
      <c r="C71" s="55">
        <v>1368710</v>
      </c>
      <c r="D71" s="57">
        <v>1.3473496839967822E-2</v>
      </c>
      <c r="E71" s="145"/>
      <c r="F71" s="100">
        <f>VLOOKUP(A71,'OPEB Amounts_Report'!$A$10:$A$324,1,FALSE)</f>
        <v>2690</v>
      </c>
      <c r="G71" s="146"/>
      <c r="H71" s="25"/>
    </row>
    <row r="72" spans="1:8">
      <c r="A72" s="147">
        <v>2710</v>
      </c>
      <c r="B72" s="148" t="s">
        <v>62</v>
      </c>
      <c r="C72" s="54">
        <v>22355</v>
      </c>
      <c r="D72" s="56">
        <v>2.2006124150293391E-4</v>
      </c>
      <c r="E72" s="145"/>
      <c r="F72" s="100">
        <f>VLOOKUP(A72,'OPEB Amounts_Report'!$A$10:$A$324,1,FALSE)</f>
        <v>2710</v>
      </c>
      <c r="G72" s="146"/>
      <c r="H72" s="25"/>
    </row>
    <row r="73" spans="1:8">
      <c r="A73" s="143">
        <v>2730</v>
      </c>
      <c r="B73" s="149" t="s">
        <v>63</v>
      </c>
      <c r="C73" s="108">
        <v>103251</v>
      </c>
      <c r="D73" s="57">
        <v>1.0163964771379749E-3</v>
      </c>
      <c r="E73" s="145"/>
      <c r="F73" s="100">
        <f>VLOOKUP(A73,'OPEB Amounts_Report'!$A$10:$A$324,1,FALSE)</f>
        <v>2730</v>
      </c>
      <c r="G73" s="146"/>
      <c r="H73" s="25"/>
    </row>
    <row r="74" spans="1:8">
      <c r="A74" s="147">
        <v>2950</v>
      </c>
      <c r="B74" s="148" t="s">
        <v>64</v>
      </c>
      <c r="C74" s="54">
        <v>84891</v>
      </c>
      <c r="D74" s="56">
        <v>8.356617692876566E-4</v>
      </c>
      <c r="E74" s="145"/>
      <c r="F74" s="100">
        <f>VLOOKUP(A74,'OPEB Amounts_Report'!$A$10:$A$324,1,FALSE)</f>
        <v>2950</v>
      </c>
      <c r="G74" s="146"/>
      <c r="H74" s="25"/>
    </row>
    <row r="75" spans="1:8">
      <c r="A75" s="143">
        <v>2760</v>
      </c>
      <c r="B75" s="149" t="s">
        <v>65</v>
      </c>
      <c r="C75" s="55">
        <v>75881</v>
      </c>
      <c r="D75" s="57">
        <v>7.4696788487963004E-4</v>
      </c>
      <c r="E75" s="145"/>
      <c r="F75" s="100">
        <f>VLOOKUP(A75,'OPEB Amounts_Report'!$A$10:$A$324,1,FALSE)</f>
        <v>2760</v>
      </c>
      <c r="G75" s="146"/>
      <c r="H75" s="25"/>
    </row>
    <row r="76" spans="1:8">
      <c r="A76" s="147">
        <v>2780</v>
      </c>
      <c r="B76" s="148" t="s">
        <v>66</v>
      </c>
      <c r="C76" s="54">
        <v>6032</v>
      </c>
      <c r="D76" s="56">
        <v>5.9378636043198273E-5</v>
      </c>
      <c r="E76" s="145"/>
      <c r="F76" s="100">
        <f>VLOOKUP(A76,'OPEB Amounts_Report'!$A$10:$A$324,1,FALSE)</f>
        <v>2780</v>
      </c>
      <c r="G76" s="146"/>
      <c r="H76" s="25"/>
    </row>
    <row r="77" spans="1:8">
      <c r="A77" s="143">
        <v>2810</v>
      </c>
      <c r="B77" s="149" t="s">
        <v>67</v>
      </c>
      <c r="C77" s="55">
        <v>54970</v>
      </c>
      <c r="D77" s="57">
        <v>5.4112129033398687E-4</v>
      </c>
      <c r="E77" s="145"/>
      <c r="F77" s="100">
        <f>VLOOKUP(A77,'OPEB Amounts_Report'!$A$10:$A$324,1,FALSE)</f>
        <v>2810</v>
      </c>
      <c r="G77" s="146"/>
      <c r="H77" s="25"/>
    </row>
    <row r="78" spans="1:8">
      <c r="A78" s="147">
        <v>18056</v>
      </c>
      <c r="B78" s="148" t="s">
        <v>68</v>
      </c>
      <c r="C78" s="54">
        <v>68007</v>
      </c>
      <c r="D78" s="56">
        <v>6.694567144213834E-4</v>
      </c>
      <c r="E78" s="145"/>
      <c r="F78" s="100">
        <f>VLOOKUP(A78,'OPEB Amounts_Report'!$A$10:$A$324,1,FALSE)</f>
        <v>18056</v>
      </c>
      <c r="G78" s="146"/>
      <c r="H78" s="25"/>
    </row>
    <row r="79" spans="1:8">
      <c r="A79" s="143">
        <v>15047</v>
      </c>
      <c r="B79" s="149" t="s">
        <v>69</v>
      </c>
      <c r="C79" s="55">
        <v>69505</v>
      </c>
      <c r="D79" s="57">
        <v>6.842029340488223E-4</v>
      </c>
      <c r="E79" s="145"/>
      <c r="F79" s="100">
        <f>VLOOKUP(A79,'OPEB Amounts_Report'!$A$10:$A$324,1,FALSE)</f>
        <v>15047</v>
      </c>
      <c r="G79" s="146"/>
      <c r="H79" s="25"/>
    </row>
    <row r="80" spans="1:8">
      <c r="A80" s="147">
        <v>5012</v>
      </c>
      <c r="B80" s="148" t="s">
        <v>70</v>
      </c>
      <c r="C80" s="54">
        <v>1012016</v>
      </c>
      <c r="D80" s="56">
        <v>9.9622230991202494E-3</v>
      </c>
      <c r="E80" s="145"/>
      <c r="F80" s="100">
        <f>VLOOKUP(A80,'OPEB Amounts_Report'!$A$10:$A$324,1,FALSE)</f>
        <v>5012</v>
      </c>
      <c r="G80" s="146"/>
      <c r="H80" s="25"/>
    </row>
    <row r="81" spans="1:8">
      <c r="A81" s="143">
        <v>8024</v>
      </c>
      <c r="B81" s="149" t="s">
        <v>71</v>
      </c>
      <c r="C81" s="55">
        <v>204683</v>
      </c>
      <c r="D81" s="57">
        <v>2.0148868304426313E-3</v>
      </c>
      <c r="E81" s="145"/>
      <c r="F81" s="100">
        <f>VLOOKUP(A81,'OPEB Amounts_Report'!$A$10:$A$324,1,FALSE)</f>
        <v>8024</v>
      </c>
      <c r="G81" s="146"/>
      <c r="H81" s="25"/>
    </row>
    <row r="82" spans="1:8">
      <c r="A82" s="147">
        <v>3050</v>
      </c>
      <c r="B82" s="148" t="s">
        <v>72</v>
      </c>
      <c r="C82" s="54">
        <v>68720</v>
      </c>
      <c r="D82" s="56">
        <v>6.7647544245500422E-4</v>
      </c>
      <c r="E82" s="145"/>
      <c r="F82" s="100">
        <f>VLOOKUP(A82,'OPEB Amounts_Report'!$A$10:$A$324,1,FALSE)</f>
        <v>3050</v>
      </c>
      <c r="G82" s="146"/>
      <c r="H82" s="25"/>
    </row>
    <row r="83" spans="1:8">
      <c r="A83" s="143">
        <v>2421</v>
      </c>
      <c r="B83" s="149" t="s">
        <v>73</v>
      </c>
      <c r="C83" s="55">
        <v>30768</v>
      </c>
      <c r="D83" s="57">
        <v>3.0287829472432434E-4</v>
      </c>
      <c r="E83" s="145"/>
      <c r="F83" s="100">
        <f>VLOOKUP(A83,'OPEB Amounts_Report'!$A$10:$A$324,1,FALSE)</f>
        <v>2421</v>
      </c>
      <c r="G83" s="146"/>
      <c r="H83" s="25"/>
    </row>
    <row r="84" spans="1:8">
      <c r="A84" s="147">
        <v>26079</v>
      </c>
      <c r="B84" s="148" t="s">
        <v>74</v>
      </c>
      <c r="C84" s="54">
        <v>22717</v>
      </c>
      <c r="D84" s="56">
        <v>2.2362474718059269E-4</v>
      </c>
      <c r="E84" s="145"/>
      <c r="F84" s="100">
        <f>VLOOKUP(A84,'OPEB Amounts_Report'!$A$10:$A$324,1,FALSE)</f>
        <v>26079</v>
      </c>
      <c r="G84" s="146"/>
      <c r="H84" s="25"/>
    </row>
    <row r="85" spans="1:8">
      <c r="A85" s="143">
        <v>2363</v>
      </c>
      <c r="B85" s="149" t="s">
        <v>75</v>
      </c>
      <c r="C85" s="55">
        <v>29593</v>
      </c>
      <c r="D85" s="57">
        <v>2.9131166717943739E-4</v>
      </c>
      <c r="E85" s="145"/>
      <c r="F85" s="100">
        <f>VLOOKUP(A85,'OPEB Amounts_Report'!$A$10:$A$324,1,FALSE)</f>
        <v>2363</v>
      </c>
      <c r="G85" s="146"/>
      <c r="H85" s="25"/>
    </row>
    <row r="86" spans="1:8">
      <c r="A86" s="147">
        <v>2364</v>
      </c>
      <c r="B86" s="148" t="s">
        <v>76</v>
      </c>
      <c r="C86" s="54">
        <v>92061</v>
      </c>
      <c r="D86" s="56">
        <v>9.0624280715730706E-4</v>
      </c>
      <c r="E86" s="145"/>
      <c r="F86" s="100">
        <f>VLOOKUP(A86,'OPEB Amounts_Report'!$A$10:$A$324,1,FALSE)</f>
        <v>2364</v>
      </c>
      <c r="G86" s="146"/>
      <c r="H86" s="25"/>
    </row>
    <row r="87" spans="1:8">
      <c r="A87" s="143">
        <v>25319</v>
      </c>
      <c r="B87" s="149" t="s">
        <v>77</v>
      </c>
      <c r="C87" s="55">
        <v>23770</v>
      </c>
      <c r="D87" s="57">
        <v>2.3399041424847859E-4</v>
      </c>
      <c r="E87" s="145"/>
      <c r="F87" s="100">
        <f>VLOOKUP(A87,'OPEB Amounts_Report'!$A$10:$A$324,1,FALSE)</f>
        <v>25319</v>
      </c>
      <c r="G87" s="146"/>
      <c r="H87" s="25"/>
    </row>
    <row r="88" spans="1:8">
      <c r="A88" s="147">
        <v>29087</v>
      </c>
      <c r="B88" s="148" t="s">
        <v>78</v>
      </c>
      <c r="C88" s="54">
        <v>150973</v>
      </c>
      <c r="D88" s="56">
        <v>1.4861689024120977E-3</v>
      </c>
      <c r="E88" s="145"/>
      <c r="F88" s="100">
        <f>VLOOKUP(A88,'OPEB Amounts_Report'!$A$10:$A$324,1,FALSE)</f>
        <v>29087</v>
      </c>
      <c r="G88" s="146"/>
      <c r="H88" s="25"/>
    </row>
    <row r="89" spans="1:8">
      <c r="A89" s="143">
        <v>3060</v>
      </c>
      <c r="B89" s="149" t="s">
        <v>79</v>
      </c>
      <c r="C89" s="55">
        <v>116095</v>
      </c>
      <c r="D89" s="57">
        <v>1.1428320211265093E-3</v>
      </c>
      <c r="E89" s="145"/>
      <c r="F89" s="100">
        <f>VLOOKUP(A89,'OPEB Amounts_Report'!$A$10:$A$324,1,FALSE)</f>
        <v>3060</v>
      </c>
      <c r="G89" s="146"/>
      <c r="H89" s="25"/>
    </row>
    <row r="90" spans="1:8">
      <c r="A90" s="147">
        <v>19301</v>
      </c>
      <c r="B90" s="148" t="s">
        <v>80</v>
      </c>
      <c r="C90" s="54">
        <v>20968</v>
      </c>
      <c r="D90" s="56">
        <v>2.0640769903079931E-4</v>
      </c>
      <c r="E90" s="145"/>
      <c r="F90" s="100">
        <f>VLOOKUP(A90,'OPEB Amounts_Report'!$A$10:$A$324,1,FALSE)</f>
        <v>19301</v>
      </c>
      <c r="G90" s="146"/>
      <c r="H90" s="25"/>
    </row>
    <row r="91" spans="1:8">
      <c r="A91" s="143">
        <v>19059</v>
      </c>
      <c r="B91" s="149" t="s">
        <v>81</v>
      </c>
      <c r="C91" s="55">
        <v>773449</v>
      </c>
      <c r="D91" s="57">
        <v>7.6137842620980873E-3</v>
      </c>
      <c r="E91" s="145"/>
      <c r="F91" s="100">
        <f>VLOOKUP(A91,'OPEB Amounts_Report'!$A$10:$A$324,1,FALSE)</f>
        <v>19059</v>
      </c>
      <c r="G91" s="146"/>
      <c r="H91" s="25"/>
    </row>
    <row r="92" spans="1:8">
      <c r="A92" s="147">
        <v>18057</v>
      </c>
      <c r="B92" s="148" t="s">
        <v>82</v>
      </c>
      <c r="C92" s="54">
        <v>27177</v>
      </c>
      <c r="D92" s="56">
        <v>2.6752871215948265E-4</v>
      </c>
      <c r="E92" s="145"/>
      <c r="F92" s="100">
        <f>VLOOKUP(A92,'OPEB Amounts_Report'!$A$10:$A$324,1,FALSE)</f>
        <v>18057</v>
      </c>
      <c r="G92" s="146"/>
      <c r="H92" s="25"/>
    </row>
    <row r="93" spans="1:8">
      <c r="A93" s="143">
        <v>4008</v>
      </c>
      <c r="B93" s="149" t="s">
        <v>83</v>
      </c>
      <c r="C93" s="55">
        <v>114280</v>
      </c>
      <c r="D93" s="57">
        <v>1.1249652730465349E-3</v>
      </c>
      <c r="E93" s="145"/>
      <c r="F93" s="100">
        <f>VLOOKUP(A93,'OPEB Amounts_Report'!$A$10:$A$324,1,FALSE)</f>
        <v>4008</v>
      </c>
      <c r="G93" s="146"/>
      <c r="H93" s="25"/>
    </row>
    <row r="94" spans="1:8">
      <c r="A94" s="147">
        <v>2350</v>
      </c>
      <c r="B94" s="148" t="s">
        <v>84</v>
      </c>
      <c r="C94" s="54">
        <v>40691</v>
      </c>
      <c r="D94" s="56">
        <v>4.0055969483318647E-4</v>
      </c>
      <c r="E94" s="145"/>
      <c r="F94" s="100">
        <f>VLOOKUP(A94,'OPEB Amounts_Report'!$A$10:$A$324,1,FALSE)</f>
        <v>2350</v>
      </c>
      <c r="G94" s="146"/>
      <c r="H94" s="25"/>
    </row>
    <row r="95" spans="1:8">
      <c r="A95" s="143">
        <v>11117</v>
      </c>
      <c r="B95" s="149" t="s">
        <v>85</v>
      </c>
      <c r="C95" s="55">
        <v>40747</v>
      </c>
      <c r="D95" s="57">
        <v>4.0111095538000665E-4</v>
      </c>
      <c r="E95" s="145"/>
      <c r="F95" s="100">
        <f>VLOOKUP(A95,'OPEB Amounts_Report'!$A$10:$A$324,1,FALSE)</f>
        <v>11117</v>
      </c>
      <c r="G95" s="146"/>
      <c r="H95" s="25"/>
    </row>
    <row r="96" spans="1:8">
      <c r="A96" s="147">
        <v>16359</v>
      </c>
      <c r="B96" s="148" t="s">
        <v>86</v>
      </c>
      <c r="C96" s="54">
        <v>7817</v>
      </c>
      <c r="D96" s="56">
        <v>7.695006597309034E-5</v>
      </c>
      <c r="E96" s="145"/>
      <c r="F96" s="100">
        <f>VLOOKUP(A96,'OPEB Amounts_Report'!$A$10:$A$324,1,FALSE)</f>
        <v>16359</v>
      </c>
      <c r="G96" s="146"/>
      <c r="H96" s="25"/>
    </row>
    <row r="97" spans="1:8">
      <c r="A97" s="143">
        <v>17115</v>
      </c>
      <c r="B97" s="149" t="s">
        <v>87</v>
      </c>
      <c r="C97" s="55">
        <v>132766</v>
      </c>
      <c r="D97" s="57">
        <v>1.3069403171271986E-3</v>
      </c>
      <c r="E97" s="145"/>
      <c r="F97" s="100">
        <f>VLOOKUP(A97,'OPEB Amounts_Report'!$A$10:$A$324,1,FALSE)</f>
        <v>17115</v>
      </c>
      <c r="G97" s="146"/>
      <c r="H97" s="25"/>
    </row>
    <row r="98" spans="1:8">
      <c r="A98" s="147">
        <v>32117</v>
      </c>
      <c r="B98" s="148" t="s">
        <v>88</v>
      </c>
      <c r="C98" s="54">
        <v>8337</v>
      </c>
      <c r="D98" s="56">
        <v>8.20689139078488E-5</v>
      </c>
      <c r="E98" s="145"/>
      <c r="F98" s="100">
        <f>VLOOKUP(A98,'OPEB Amounts_Report'!$A$10:$A$324,1,FALSE)</f>
        <v>32117</v>
      </c>
      <c r="G98" s="146"/>
      <c r="H98" s="25"/>
    </row>
    <row r="99" spans="1:8">
      <c r="A99" s="143">
        <v>2304</v>
      </c>
      <c r="B99" s="149" t="s">
        <v>89</v>
      </c>
      <c r="C99" s="55">
        <v>58747</v>
      </c>
      <c r="D99" s="57">
        <v>5.7830184542933833E-4</v>
      </c>
      <c r="E99" s="145"/>
      <c r="F99" s="100">
        <f>VLOOKUP(A99,'OPEB Amounts_Report'!$A$10:$A$324,1,FALSE)</f>
        <v>2304</v>
      </c>
      <c r="G99" s="146"/>
      <c r="H99" s="25"/>
    </row>
    <row r="100" spans="1:8">
      <c r="A100" s="147">
        <v>11101</v>
      </c>
      <c r="B100" s="148" t="s">
        <v>91</v>
      </c>
      <c r="C100" s="54">
        <v>692234</v>
      </c>
      <c r="D100" s="56">
        <v>6.8143088101338383E-3</v>
      </c>
      <c r="E100" s="145"/>
      <c r="F100" s="100">
        <f>VLOOKUP(A100,'OPEB Amounts_Report'!$A$10:$A$324,1,FALSE)</f>
        <v>11101</v>
      </c>
      <c r="G100" s="146"/>
      <c r="H100" s="25"/>
    </row>
    <row r="101" spans="1:8">
      <c r="A101" s="143">
        <v>11102</v>
      </c>
      <c r="B101" s="149" t="s">
        <v>90</v>
      </c>
      <c r="C101" s="55">
        <v>210680</v>
      </c>
      <c r="D101" s="57">
        <v>2.073920928644067E-3</v>
      </c>
      <c r="E101" s="145"/>
      <c r="F101" s="100">
        <f>VLOOKUP(A101,'OPEB Amounts_Report'!$A$10:$A$324,1,FALSE)</f>
        <v>11102</v>
      </c>
      <c r="G101" s="146"/>
      <c r="H101" s="25"/>
    </row>
    <row r="102" spans="1:8">
      <c r="A102" s="147">
        <v>3100</v>
      </c>
      <c r="B102" s="148" t="s">
        <v>92</v>
      </c>
      <c r="C102" s="54">
        <v>442793</v>
      </c>
      <c r="D102" s="56">
        <v>4.3588269876452075E-3</v>
      </c>
      <c r="E102" s="145"/>
      <c r="F102" s="100">
        <f>VLOOKUP(A102,'OPEB Amounts_Report'!$A$10:$A$324,1,FALSE)</f>
        <v>3100</v>
      </c>
      <c r="G102" s="146"/>
      <c r="H102" s="25"/>
    </row>
    <row r="103" spans="1:8">
      <c r="A103" s="143">
        <v>2323</v>
      </c>
      <c r="B103" s="149" t="s">
        <v>93</v>
      </c>
      <c r="C103" s="55">
        <v>45158</v>
      </c>
      <c r="D103" s="57">
        <v>4.4453256738042897E-4</v>
      </c>
      <c r="E103" s="145"/>
      <c r="F103" s="100">
        <f>VLOOKUP(A103,'OPEB Amounts_Report'!$A$10:$A$324,1,FALSE)</f>
        <v>2323</v>
      </c>
      <c r="G103" s="146"/>
      <c r="H103" s="25"/>
    </row>
    <row r="104" spans="1:8">
      <c r="A104" s="147">
        <v>11034</v>
      </c>
      <c r="B104" s="148" t="s">
        <v>94</v>
      </c>
      <c r="C104" s="54">
        <v>30316</v>
      </c>
      <c r="D104" s="56">
        <v>2.9842883459641888E-4</v>
      </c>
      <c r="E104" s="145"/>
      <c r="F104" s="100">
        <f>VLOOKUP(A104,'OPEB Amounts_Report'!$A$10:$A$324,1,FALSE)</f>
        <v>11034</v>
      </c>
      <c r="G104" s="146"/>
      <c r="H104" s="25"/>
    </row>
    <row r="105" spans="1:8">
      <c r="A105" s="143">
        <v>17054</v>
      </c>
      <c r="B105" s="144" t="s">
        <v>95</v>
      </c>
      <c r="C105" s="107">
        <v>474698</v>
      </c>
      <c r="D105" s="66">
        <v>4.6728978402576478E-3</v>
      </c>
      <c r="E105" s="145"/>
      <c r="F105" s="100">
        <f>VLOOKUP(A105,'OPEB Amounts_Report'!$A$10:$A$324,1,FALSE)</f>
        <v>17054</v>
      </c>
      <c r="G105" s="146"/>
      <c r="H105" s="25"/>
    </row>
    <row r="106" spans="1:8">
      <c r="A106" s="147">
        <v>22065</v>
      </c>
      <c r="B106" s="148" t="s">
        <v>96</v>
      </c>
      <c r="C106" s="54">
        <v>106227</v>
      </c>
      <c r="D106" s="56">
        <v>1.0456920376261311E-3</v>
      </c>
      <c r="E106" s="145"/>
      <c r="F106" s="100">
        <f>VLOOKUP(A106,'OPEB Amounts_Report'!$A$10:$A$324,1,FALSE)</f>
        <v>22065</v>
      </c>
      <c r="G106" s="146"/>
      <c r="H106" s="25"/>
    </row>
    <row r="107" spans="1:8">
      <c r="A107" s="143">
        <v>22201</v>
      </c>
      <c r="B107" s="149" t="s">
        <v>97</v>
      </c>
      <c r="C107" s="55">
        <v>54494</v>
      </c>
      <c r="D107" s="57">
        <v>5.3643557568601571E-4</v>
      </c>
      <c r="E107" s="145"/>
      <c r="F107" s="100">
        <f>VLOOKUP(A107,'OPEB Amounts_Report'!$A$10:$A$324,1,FALSE)</f>
        <v>22201</v>
      </c>
      <c r="G107" s="146"/>
      <c r="H107" s="25"/>
    </row>
    <row r="108" spans="1:8">
      <c r="A108" s="147">
        <v>6016</v>
      </c>
      <c r="B108" s="148" t="s">
        <v>98</v>
      </c>
      <c r="C108" s="54">
        <v>110990</v>
      </c>
      <c r="D108" s="56">
        <v>1.0925787159208515E-3</v>
      </c>
      <c r="E108" s="145"/>
      <c r="F108" s="100">
        <f>VLOOKUP(A108,'OPEB Amounts_Report'!$A$10:$A$324,1,FALSE)</f>
        <v>6016</v>
      </c>
      <c r="G108" s="146"/>
      <c r="H108" s="25"/>
    </row>
    <row r="109" spans="1:8">
      <c r="A109" s="143">
        <v>7440</v>
      </c>
      <c r="B109" s="149" t="s">
        <v>532</v>
      </c>
      <c r="C109" s="55">
        <v>11672</v>
      </c>
      <c r="D109" s="57">
        <v>1.1489844825865555E-4</v>
      </c>
      <c r="E109" s="145"/>
      <c r="F109" s="100">
        <f>VLOOKUP(A109,'OPEB Amounts_Report'!$A$10:$A$324,1,FALSE)</f>
        <v>7440</v>
      </c>
      <c r="G109" s="146"/>
      <c r="H109" s="25"/>
    </row>
    <row r="110" spans="1:8">
      <c r="A110" s="147">
        <v>2432</v>
      </c>
      <c r="B110" s="148" t="s">
        <v>99</v>
      </c>
      <c r="C110" s="54">
        <v>115879</v>
      </c>
      <c r="D110" s="56">
        <v>1.1407057304459172E-3</v>
      </c>
      <c r="E110" s="145"/>
      <c r="F110" s="100">
        <f>VLOOKUP(A110,'OPEB Amounts_Report'!$A$10:$A$324,1,FALSE)</f>
        <v>2432</v>
      </c>
      <c r="G110" s="146"/>
      <c r="H110" s="25"/>
    </row>
    <row r="111" spans="1:8">
      <c r="A111" s="143">
        <v>16052</v>
      </c>
      <c r="B111" s="149" t="s">
        <v>100</v>
      </c>
      <c r="C111" s="55">
        <v>1360273</v>
      </c>
      <c r="D111" s="57">
        <v>1.3390443532226367E-2</v>
      </c>
      <c r="E111" s="145"/>
      <c r="F111" s="100">
        <f>VLOOKUP(A111,'OPEB Amounts_Report'!$A$10:$A$324,1,FALSE)</f>
        <v>16052</v>
      </c>
      <c r="G111" s="146"/>
      <c r="H111" s="25"/>
    </row>
    <row r="112" spans="1:8">
      <c r="A112" s="147">
        <v>11118</v>
      </c>
      <c r="B112" s="148" t="s">
        <v>101</v>
      </c>
      <c r="C112" s="54">
        <v>36949</v>
      </c>
      <c r="D112" s="56">
        <v>3.6372367757959767E-4</v>
      </c>
      <c r="E112" s="145"/>
      <c r="F112" s="100">
        <f>VLOOKUP(A112,'OPEB Amounts_Report'!$A$10:$A$324,1,FALSE)</f>
        <v>11118</v>
      </c>
      <c r="G112" s="146"/>
      <c r="H112" s="25"/>
    </row>
    <row r="113" spans="1:8">
      <c r="A113" s="143">
        <v>27083</v>
      </c>
      <c r="B113" s="149" t="s">
        <v>102</v>
      </c>
      <c r="C113" s="55">
        <v>56010</v>
      </c>
      <c r="D113" s="57">
        <v>5.513589862035039E-4</v>
      </c>
      <c r="E113" s="145"/>
      <c r="F113" s="100">
        <f>VLOOKUP(A113,'OPEB Amounts_Report'!$A$10:$A$324,1,FALSE)</f>
        <v>27083</v>
      </c>
      <c r="G113" s="146"/>
      <c r="H113" s="25"/>
    </row>
    <row r="114" spans="1:8">
      <c r="A114" s="147">
        <v>7021</v>
      </c>
      <c r="B114" s="148" t="s">
        <v>103</v>
      </c>
      <c r="C114" s="54">
        <v>1826216</v>
      </c>
      <c r="D114" s="56">
        <v>1.7977157692351687E-2</v>
      </c>
      <c r="E114" s="145"/>
      <c r="F114" s="100">
        <f>VLOOKUP(A114,'OPEB Amounts_Report'!$A$10:$A$324,1,FALSE)</f>
        <v>7021</v>
      </c>
      <c r="G114" s="146"/>
      <c r="H114" s="25"/>
    </row>
    <row r="115" spans="1:8">
      <c r="A115" s="143">
        <v>4140</v>
      </c>
      <c r="B115" s="149" t="s">
        <v>104</v>
      </c>
      <c r="C115" s="55">
        <v>11198</v>
      </c>
      <c r="D115" s="57">
        <v>1.1023242148735648E-4</v>
      </c>
      <c r="E115" s="145"/>
      <c r="F115" s="100">
        <f>VLOOKUP(A115,'OPEB Amounts_Report'!$A$10:$A$324,1,FALSE)</f>
        <v>4140</v>
      </c>
      <c r="G115" s="146"/>
      <c r="H115" s="25"/>
    </row>
    <row r="116" spans="1:8">
      <c r="A116" s="147">
        <v>13041</v>
      </c>
      <c r="B116" s="148" t="s">
        <v>105</v>
      </c>
      <c r="C116" s="54">
        <v>1602590</v>
      </c>
      <c r="D116" s="56">
        <v>1.5775797138008807E-2</v>
      </c>
      <c r="E116" s="145"/>
      <c r="F116" s="100">
        <f>VLOOKUP(A116,'OPEB Amounts_Report'!$A$10:$A$324,1,FALSE)</f>
        <v>13041</v>
      </c>
      <c r="G116" s="146"/>
      <c r="H116" s="25"/>
    </row>
    <row r="117" spans="1:8">
      <c r="A117" s="143">
        <v>2339</v>
      </c>
      <c r="B117" s="149" t="s">
        <v>106</v>
      </c>
      <c r="C117" s="55">
        <v>21342</v>
      </c>
      <c r="D117" s="57">
        <v>2.1008933196849097E-4</v>
      </c>
      <c r="E117" s="145"/>
      <c r="F117" s="100">
        <f>VLOOKUP(A117,'OPEB Amounts_Report'!$A$10:$A$324,1,FALSE)</f>
        <v>2339</v>
      </c>
      <c r="G117" s="146"/>
      <c r="H117" s="25"/>
    </row>
    <row r="118" spans="1:8">
      <c r="A118" s="147">
        <v>2362</v>
      </c>
      <c r="B118" s="148" t="s">
        <v>107</v>
      </c>
      <c r="C118" s="54">
        <v>33175</v>
      </c>
      <c r="D118" s="56">
        <v>3.2657265429925444E-4</v>
      </c>
      <c r="E118" s="145"/>
      <c r="F118" s="100">
        <f>VLOOKUP(A118,'OPEB Amounts_Report'!$A$10:$A$324,1,FALSE)</f>
        <v>2362</v>
      </c>
      <c r="G118" s="146"/>
      <c r="H118" s="25"/>
    </row>
    <row r="119" spans="1:8">
      <c r="A119" s="143">
        <v>5013</v>
      </c>
      <c r="B119" s="149" t="s">
        <v>108</v>
      </c>
      <c r="C119" s="55">
        <v>29350</v>
      </c>
      <c r="D119" s="57">
        <v>2.8891959016377143E-4</v>
      </c>
      <c r="E119" s="145"/>
      <c r="F119" s="100">
        <f>VLOOKUP(A119,'OPEB Amounts_Report'!$A$10:$A$324,1,FALSE)</f>
        <v>5013</v>
      </c>
      <c r="G119" s="146"/>
      <c r="H119" s="25"/>
    </row>
    <row r="120" spans="1:8">
      <c r="A120" s="147">
        <v>3110</v>
      </c>
      <c r="B120" s="148" t="s">
        <v>109</v>
      </c>
      <c r="C120" s="54">
        <v>142994</v>
      </c>
      <c r="D120" s="56">
        <v>1.4076241184285633E-3</v>
      </c>
      <c r="E120" s="145"/>
      <c r="F120" s="100">
        <f>VLOOKUP(A120,'OPEB Amounts_Report'!$A$10:$A$324,1,FALSE)</f>
        <v>3110</v>
      </c>
      <c r="G120" s="146"/>
      <c r="H120" s="25"/>
    </row>
    <row r="121" spans="1:8">
      <c r="A121" s="143">
        <v>14044</v>
      </c>
      <c r="B121" s="149" t="s">
        <v>110</v>
      </c>
      <c r="C121" s="55">
        <v>454549</v>
      </c>
      <c r="D121" s="57">
        <v>4.4745523267240937E-3</v>
      </c>
      <c r="E121" s="145"/>
      <c r="F121" s="100">
        <f>VLOOKUP(A121,'OPEB Amounts_Report'!$A$10:$A$324,1,FALSE)</f>
        <v>14044</v>
      </c>
      <c r="G121" s="146"/>
      <c r="H121" s="25"/>
    </row>
    <row r="122" spans="1:8">
      <c r="A122" s="147">
        <v>4009</v>
      </c>
      <c r="B122" s="148" t="s">
        <v>111</v>
      </c>
      <c r="C122" s="54">
        <v>58954</v>
      </c>
      <c r="D122" s="56">
        <v>5.8033954066490567E-4</v>
      </c>
      <c r="E122" s="145"/>
      <c r="F122" s="100">
        <f>VLOOKUP(A122,'OPEB Amounts_Report'!$A$10:$A$324,1,FALSE)</f>
        <v>4009</v>
      </c>
      <c r="G122" s="146"/>
      <c r="H122" s="25"/>
    </row>
    <row r="123" spans="1:8">
      <c r="A123" s="143">
        <v>7022</v>
      </c>
      <c r="B123" s="149" t="s">
        <v>112</v>
      </c>
      <c r="C123" s="55">
        <v>182996</v>
      </c>
      <c r="D123" s="57">
        <v>1.8014013397481949E-3</v>
      </c>
      <c r="E123" s="145"/>
      <c r="F123" s="100">
        <f>VLOOKUP(A123,'OPEB Amounts_Report'!$A$10:$A$324,1,FALSE)</f>
        <v>7022</v>
      </c>
      <c r="G123" s="146"/>
      <c r="H123" s="25"/>
    </row>
    <row r="124" spans="1:8">
      <c r="A124" s="147">
        <v>2430</v>
      </c>
      <c r="B124" s="148" t="s">
        <v>113</v>
      </c>
      <c r="C124" s="54">
        <v>26075</v>
      </c>
      <c r="D124" s="56">
        <v>2.5668069211312914E-4</v>
      </c>
      <c r="E124" s="145"/>
      <c r="F124" s="100">
        <f>VLOOKUP(A124,'OPEB Amounts_Report'!$A$10:$A$324,1,FALSE)</f>
        <v>2430</v>
      </c>
      <c r="G124" s="146"/>
      <c r="H124" s="25"/>
    </row>
    <row r="125" spans="1:8">
      <c r="A125" s="143">
        <v>9150</v>
      </c>
      <c r="B125" s="149" t="s">
        <v>114</v>
      </c>
      <c r="C125" s="55">
        <v>13603</v>
      </c>
      <c r="D125" s="57">
        <v>1.3390709318561439E-4</v>
      </c>
      <c r="E125" s="145"/>
      <c r="F125" s="100">
        <f>VLOOKUP(A125,'OPEB Amounts_Report'!$A$10:$A$324,1,FALSE)</f>
        <v>9150</v>
      </c>
      <c r="G125" s="146"/>
      <c r="H125" s="25"/>
    </row>
    <row r="126" spans="1:8">
      <c r="A126" s="147">
        <v>6017</v>
      </c>
      <c r="B126" s="148" t="s">
        <v>115</v>
      </c>
      <c r="C126" s="54">
        <v>1275261</v>
      </c>
      <c r="D126" s="56">
        <v>1.2553590646400044E-2</v>
      </c>
      <c r="E126" s="145"/>
      <c r="F126" s="100">
        <f>VLOOKUP(A126,'OPEB Amounts_Report'!$A$10:$A$324,1,FALSE)</f>
        <v>6017</v>
      </c>
      <c r="G126" s="146"/>
      <c r="H126" s="25"/>
    </row>
    <row r="127" spans="1:8">
      <c r="A127" s="143">
        <v>26080</v>
      </c>
      <c r="B127" s="149" t="s">
        <v>116</v>
      </c>
      <c r="C127" s="55">
        <v>40909</v>
      </c>
      <c r="D127" s="57">
        <v>4.0270567339045061E-4</v>
      </c>
      <c r="E127" s="145"/>
      <c r="F127" s="100">
        <f>VLOOKUP(A127,'OPEB Amounts_Report'!$A$10:$A$324,1,FALSE)</f>
        <v>26080</v>
      </c>
      <c r="G127" s="146"/>
      <c r="H127" s="25"/>
    </row>
    <row r="128" spans="1:8">
      <c r="A128" s="147">
        <v>2327</v>
      </c>
      <c r="B128" s="148" t="s">
        <v>117</v>
      </c>
      <c r="C128" s="54">
        <v>43840</v>
      </c>
      <c r="D128" s="56">
        <v>4.3155825665348348E-4</v>
      </c>
      <c r="E128" s="145"/>
      <c r="F128" s="100">
        <f>VLOOKUP(A128,'OPEB Amounts_Report'!$A$10:$A$324,1,FALSE)</f>
        <v>2327</v>
      </c>
      <c r="G128" s="146"/>
      <c r="H128" s="25"/>
    </row>
    <row r="129" spans="1:8">
      <c r="A129" s="143">
        <v>10119</v>
      </c>
      <c r="B129" s="149" t="s">
        <v>118</v>
      </c>
      <c r="C129" s="55">
        <v>22303</v>
      </c>
      <c r="D129" s="57">
        <v>2.1954935670945807E-4</v>
      </c>
      <c r="E129" s="145"/>
      <c r="F129" s="100">
        <f>VLOOKUP(A129,'OPEB Amounts_Report'!$A$10:$A$324,1,FALSE)</f>
        <v>10119</v>
      </c>
      <c r="G129" s="146"/>
      <c r="H129" s="25"/>
    </row>
    <row r="130" spans="1:8">
      <c r="A130" s="147">
        <v>573</v>
      </c>
      <c r="B130" s="148" t="s">
        <v>411</v>
      </c>
      <c r="C130" s="54">
        <v>57096</v>
      </c>
      <c r="D130" s="56">
        <v>5.6204950323648017E-4</v>
      </c>
      <c r="E130" s="145"/>
      <c r="F130" s="100">
        <f>VLOOKUP(A130,'OPEB Amounts_Report'!$A$10:$A$324,1,FALSE)</f>
        <v>573</v>
      </c>
      <c r="G130" s="146"/>
      <c r="H130" s="25"/>
    </row>
    <row r="131" spans="1:8">
      <c r="A131" s="143">
        <v>2368</v>
      </c>
      <c r="B131" s="149" t="s">
        <v>119</v>
      </c>
      <c r="C131" s="55">
        <v>42763</v>
      </c>
      <c r="D131" s="57">
        <v>4.209563350655318E-4</v>
      </c>
      <c r="E131" s="145"/>
      <c r="F131" s="100">
        <f>VLOOKUP(A131,'OPEB Amounts_Report'!$A$10:$A$324,1,FALSE)</f>
        <v>2368</v>
      </c>
      <c r="G131" s="146"/>
      <c r="H131" s="25"/>
    </row>
    <row r="132" spans="1:8">
      <c r="A132" s="147">
        <v>7420</v>
      </c>
      <c r="B132" s="148" t="s">
        <v>120</v>
      </c>
      <c r="C132" s="54">
        <v>26050</v>
      </c>
      <c r="D132" s="56">
        <v>2.5643459365472731E-4</v>
      </c>
      <c r="E132" s="145"/>
      <c r="F132" s="100">
        <f>VLOOKUP(A132,'OPEB Amounts_Report'!$A$10:$A$324,1,FALSE)</f>
        <v>7420</v>
      </c>
      <c r="G132" s="146"/>
      <c r="H132" s="25"/>
    </row>
    <row r="133" spans="1:8">
      <c r="A133" s="143">
        <v>6018</v>
      </c>
      <c r="B133" s="149" t="s">
        <v>121</v>
      </c>
      <c r="C133" s="55">
        <v>73039</v>
      </c>
      <c r="D133" s="57">
        <v>7.1899141212850774E-4</v>
      </c>
      <c r="E133" s="145"/>
      <c r="F133" s="100">
        <f>VLOOKUP(A133,'OPEB Amounts_Report'!$A$10:$A$324,1,FALSE)</f>
        <v>6018</v>
      </c>
      <c r="G133" s="146"/>
      <c r="H133" s="25"/>
    </row>
    <row r="134" spans="1:8">
      <c r="A134" s="147">
        <v>3321</v>
      </c>
      <c r="B134" s="148" t="s">
        <v>122</v>
      </c>
      <c r="C134" s="54">
        <v>36959</v>
      </c>
      <c r="D134" s="56">
        <v>3.6382211696295839E-4</v>
      </c>
      <c r="E134" s="145"/>
      <c r="F134" s="100">
        <f>VLOOKUP(A134,'OPEB Amounts_Report'!$A$10:$A$324,1,FALSE)</f>
        <v>3321</v>
      </c>
      <c r="G134" s="146"/>
      <c r="H134" s="25"/>
    </row>
    <row r="135" spans="1:8">
      <c r="A135" s="143">
        <v>29122</v>
      </c>
      <c r="B135" s="149" t="s">
        <v>123</v>
      </c>
      <c r="C135" s="55">
        <v>39749</v>
      </c>
      <c r="D135" s="57">
        <v>3.9128670492060482E-4</v>
      </c>
      <c r="E135" s="145"/>
      <c r="F135" s="100">
        <f>VLOOKUP(A135,'OPEB Amounts_Report'!$A$10:$A$324,1,FALSE)</f>
        <v>29122</v>
      </c>
      <c r="G135" s="146"/>
      <c r="H135" s="25"/>
    </row>
    <row r="136" spans="1:8">
      <c r="A136" s="147">
        <v>29088</v>
      </c>
      <c r="B136" s="148" t="s">
        <v>124</v>
      </c>
      <c r="C136" s="106">
        <v>55699</v>
      </c>
      <c r="D136" s="56">
        <v>5.4829752138098483E-4</v>
      </c>
      <c r="E136" s="145"/>
      <c r="F136" s="100">
        <f>VLOOKUP(A136,'OPEB Amounts_Report'!$A$10:$A$324,1,FALSE)</f>
        <v>29088</v>
      </c>
      <c r="G136" s="146"/>
      <c r="H136" s="25"/>
    </row>
    <row r="137" spans="1:8">
      <c r="A137" s="143">
        <v>7337</v>
      </c>
      <c r="B137" s="149" t="s">
        <v>125</v>
      </c>
      <c r="C137" s="55">
        <v>15209</v>
      </c>
      <c r="D137" s="57">
        <v>1.4971645815334923E-4</v>
      </c>
      <c r="E137" s="145"/>
      <c r="F137" s="100">
        <f>VLOOKUP(A137,'OPEB Amounts_Report'!$A$10:$A$324,1,FALSE)</f>
        <v>7337</v>
      </c>
      <c r="G137" s="146"/>
      <c r="H137" s="25"/>
    </row>
    <row r="138" spans="1:8">
      <c r="A138" s="147">
        <v>2329</v>
      </c>
      <c r="B138" s="148" t="s">
        <v>126</v>
      </c>
      <c r="C138" s="54">
        <v>47436</v>
      </c>
      <c r="D138" s="56">
        <v>4.669570589100055E-4</v>
      </c>
      <c r="E138" s="145"/>
      <c r="F138" s="100">
        <f>VLOOKUP(A138,'OPEB Amounts_Report'!$A$10:$A$324,1,FALSE)</f>
        <v>2329</v>
      </c>
      <c r="G138" s="146"/>
      <c r="H138" s="25"/>
    </row>
    <row r="139" spans="1:8">
      <c r="A139" s="143">
        <v>17425</v>
      </c>
      <c r="B139" s="149" t="s">
        <v>128</v>
      </c>
      <c r="C139" s="55">
        <v>9072</v>
      </c>
      <c r="D139" s="57">
        <v>8.9304208584863178E-5</v>
      </c>
      <c r="E139" s="145"/>
      <c r="F139" s="100">
        <f>VLOOKUP(A139,'OPEB Amounts_Report'!$A$10:$A$324,1,FALSE)</f>
        <v>17425</v>
      </c>
      <c r="G139" s="146"/>
      <c r="H139" s="25"/>
    </row>
    <row r="140" spans="1:8">
      <c r="A140" s="147">
        <v>4010</v>
      </c>
      <c r="B140" s="148" t="s">
        <v>129</v>
      </c>
      <c r="C140" s="54">
        <v>28086</v>
      </c>
      <c r="D140" s="56">
        <v>2.764768521069739E-4</v>
      </c>
      <c r="E140" s="145"/>
      <c r="F140" s="100">
        <f>VLOOKUP(A140,'OPEB Amounts_Report'!$A$10:$A$324,1,FALSE)</f>
        <v>4010</v>
      </c>
      <c r="G140" s="146"/>
      <c r="H140" s="25"/>
    </row>
    <row r="141" spans="1:8">
      <c r="A141" s="143">
        <v>7023</v>
      </c>
      <c r="B141" s="149" t="s">
        <v>439</v>
      </c>
      <c r="C141" s="55">
        <v>3304018</v>
      </c>
      <c r="D141" s="57">
        <v>3.2524549453278491E-2</v>
      </c>
      <c r="E141" s="145"/>
      <c r="F141" s="100">
        <f>VLOOKUP(A141,'OPEB Amounts_Report'!$A$10:$A$324,1,FALSE)</f>
        <v>7023</v>
      </c>
      <c r="G141" s="146"/>
      <c r="H141" s="25"/>
    </row>
    <row r="142" spans="1:8">
      <c r="A142" s="147">
        <v>7338</v>
      </c>
      <c r="B142" s="148" t="s">
        <v>131</v>
      </c>
      <c r="C142" s="54">
        <v>29095</v>
      </c>
      <c r="D142" s="56">
        <v>2.8640938588807258E-4</v>
      </c>
      <c r="E142" s="145"/>
      <c r="F142" s="100">
        <f>VLOOKUP(A142,'OPEB Amounts_Report'!$A$10:$A$324,1,FALSE)</f>
        <v>7338</v>
      </c>
      <c r="G142" s="146"/>
      <c r="H142" s="25"/>
    </row>
    <row r="143" spans="1:8">
      <c r="A143" s="143">
        <v>12037</v>
      </c>
      <c r="B143" s="149" t="s">
        <v>132</v>
      </c>
      <c r="C143" s="55">
        <v>199729</v>
      </c>
      <c r="D143" s="57">
        <v>1.9661199599257206E-3</v>
      </c>
      <c r="E143" s="145"/>
      <c r="F143" s="100">
        <f>VLOOKUP(A143,'OPEB Amounts_Report'!$A$10:$A$324,1,FALSE)</f>
        <v>12037</v>
      </c>
      <c r="G143" s="146"/>
      <c r="H143" s="25"/>
    </row>
    <row r="144" spans="1:8">
      <c r="A144" s="147">
        <v>3150</v>
      </c>
      <c r="B144" s="148" t="s">
        <v>133</v>
      </c>
      <c r="C144" s="54">
        <v>428013</v>
      </c>
      <c r="D144" s="56">
        <v>4.2133335790380342E-3</v>
      </c>
      <c r="E144" s="145"/>
      <c r="F144" s="100">
        <f>VLOOKUP(A144,'OPEB Amounts_Report'!$A$10:$A$324,1,FALSE)</f>
        <v>3150</v>
      </c>
      <c r="G144" s="146"/>
      <c r="H144" s="25"/>
    </row>
    <row r="145" spans="1:8">
      <c r="A145" s="143">
        <v>3160</v>
      </c>
      <c r="B145" s="149" t="s">
        <v>134</v>
      </c>
      <c r="C145" s="55">
        <v>100154</v>
      </c>
      <c r="D145" s="57">
        <v>9.8590980011115385E-4</v>
      </c>
      <c r="E145" s="145"/>
      <c r="F145" s="100">
        <f>VLOOKUP(A145,'OPEB Amounts_Report'!$A$10:$A$324,1,FALSE)</f>
        <v>3160</v>
      </c>
      <c r="G145" s="146"/>
      <c r="H145" s="25"/>
    </row>
    <row r="146" spans="1:8">
      <c r="A146" s="147">
        <v>10120</v>
      </c>
      <c r="B146" s="148" t="s">
        <v>136</v>
      </c>
      <c r="C146" s="54">
        <v>49487</v>
      </c>
      <c r="D146" s="56">
        <v>4.8714697643729326E-4</v>
      </c>
      <c r="E146" s="145"/>
      <c r="F146" s="100">
        <f>VLOOKUP(A146,'OPEB Amounts_Report'!$A$10:$A$324,1,FALSE)</f>
        <v>10120</v>
      </c>
      <c r="G146" s="146"/>
      <c r="H146" s="25"/>
    </row>
    <row r="147" spans="1:8">
      <c r="A147" s="143">
        <v>23070</v>
      </c>
      <c r="B147" s="149" t="s">
        <v>137</v>
      </c>
      <c r="C147" s="55">
        <v>79867</v>
      </c>
      <c r="D147" s="57">
        <v>7.8620582308722088E-4</v>
      </c>
      <c r="E147" s="145"/>
      <c r="F147" s="100">
        <f>VLOOKUP(A147,'OPEB Amounts_Report'!$A$10:$A$324,1,FALSE)</f>
        <v>23070</v>
      </c>
      <c r="G147" s="146"/>
      <c r="H147" s="25"/>
    </row>
    <row r="148" spans="1:8">
      <c r="A148" s="147">
        <v>3170</v>
      </c>
      <c r="B148" s="148" t="s">
        <v>138</v>
      </c>
      <c r="C148" s="54">
        <v>932577</v>
      </c>
      <c r="D148" s="56">
        <v>9.1802304816408671E-3</v>
      </c>
      <c r="E148" s="145"/>
      <c r="F148" s="100">
        <f>VLOOKUP(A148,'OPEB Amounts_Report'!$A$10:$A$324,1,FALSE)</f>
        <v>3170</v>
      </c>
      <c r="G148" s="146"/>
      <c r="H148" s="25"/>
    </row>
    <row r="149" spans="1:8">
      <c r="A149" s="143">
        <v>32093</v>
      </c>
      <c r="B149" s="149" t="s">
        <v>139</v>
      </c>
      <c r="C149" s="55">
        <v>610333</v>
      </c>
      <c r="D149" s="57">
        <v>6.0080804164710433E-3</v>
      </c>
      <c r="E149" s="145"/>
      <c r="F149" s="100">
        <f>VLOOKUP(A149,'OPEB Amounts_Report'!$A$10:$A$324,1,FALSE)</f>
        <v>32093</v>
      </c>
      <c r="G149" s="146"/>
      <c r="H149" s="25"/>
    </row>
    <row r="150" spans="1:8">
      <c r="A150" s="147">
        <v>14045</v>
      </c>
      <c r="B150" s="148" t="s">
        <v>140</v>
      </c>
      <c r="C150" s="54">
        <v>1061103</v>
      </c>
      <c r="D150" s="56">
        <v>1.0445432500223112E-2</v>
      </c>
      <c r="E150" s="145"/>
      <c r="F150" s="100">
        <f>VLOOKUP(A150,'OPEB Amounts_Report'!$A$10:$A$324,1,FALSE)</f>
        <v>14045</v>
      </c>
      <c r="G150" s="146"/>
      <c r="H150" s="25"/>
    </row>
    <row r="151" spans="1:8">
      <c r="A151" s="143">
        <v>2322</v>
      </c>
      <c r="B151" s="149" t="s">
        <v>141</v>
      </c>
      <c r="C151" s="55">
        <v>28386</v>
      </c>
      <c r="D151" s="57">
        <v>2.7943003360779612E-4</v>
      </c>
      <c r="E151" s="145"/>
      <c r="F151" s="100">
        <f>VLOOKUP(A151,'OPEB Amounts_Report'!$A$10:$A$324,1,FALSE)</f>
        <v>2322</v>
      </c>
      <c r="G151" s="146"/>
      <c r="H151" s="25"/>
    </row>
    <row r="152" spans="1:8">
      <c r="A152" s="147">
        <v>3006</v>
      </c>
      <c r="B152" s="148" t="s">
        <v>142</v>
      </c>
      <c r="C152" s="54">
        <v>86236</v>
      </c>
      <c r="D152" s="56">
        <v>8.4890186634967613E-4</v>
      </c>
      <c r="E152" s="145"/>
      <c r="F152" s="100">
        <f>VLOOKUP(A152,'OPEB Amounts_Report'!$A$10:$A$324,1,FALSE)</f>
        <v>3006</v>
      </c>
      <c r="G152" s="146"/>
      <c r="H152" s="25"/>
    </row>
    <row r="153" spans="1:8">
      <c r="A153" s="143">
        <v>6019</v>
      </c>
      <c r="B153" s="144" t="s">
        <v>143</v>
      </c>
      <c r="C153" s="107">
        <v>445952</v>
      </c>
      <c r="D153" s="66">
        <v>4.3899239888488652E-3</v>
      </c>
      <c r="E153" s="145"/>
      <c r="F153" s="100">
        <f>VLOOKUP(A153,'OPEB Amounts_Report'!$A$10:$A$324,1,FALSE)</f>
        <v>6019</v>
      </c>
      <c r="G153" s="146"/>
      <c r="H153" s="25"/>
    </row>
    <row r="154" spans="1:8">
      <c r="A154" s="147">
        <v>12128</v>
      </c>
      <c r="B154" s="148" t="s">
        <v>144</v>
      </c>
      <c r="C154" s="54">
        <v>102580</v>
      </c>
      <c r="D154" s="56">
        <v>1.0097911945144693E-3</v>
      </c>
      <c r="E154" s="145"/>
      <c r="F154" s="100">
        <f>VLOOKUP(A154,'OPEB Amounts_Report'!$A$10:$A$324,1,FALSE)</f>
        <v>12128</v>
      </c>
      <c r="G154" s="146"/>
      <c r="H154" s="25"/>
    </row>
    <row r="155" spans="1:8">
      <c r="A155" s="143">
        <v>3180</v>
      </c>
      <c r="B155" s="149" t="s">
        <v>145</v>
      </c>
      <c r="C155" s="55">
        <v>188198</v>
      </c>
      <c r="D155" s="57">
        <v>1.8526095069724517E-3</v>
      </c>
      <c r="E155" s="145"/>
      <c r="F155" s="100">
        <f>VLOOKUP(A155,'OPEB Amounts_Report'!$A$10:$A$324,1,FALSE)</f>
        <v>3180</v>
      </c>
      <c r="G155" s="146"/>
      <c r="H155" s="25"/>
    </row>
    <row r="156" spans="1:8">
      <c r="A156" s="147">
        <v>25075</v>
      </c>
      <c r="B156" s="148" t="s">
        <v>146</v>
      </c>
      <c r="C156" s="54">
        <v>81207</v>
      </c>
      <c r="D156" s="56">
        <v>7.9939670045756008E-4</v>
      </c>
      <c r="E156" s="145"/>
      <c r="F156" s="100">
        <f>VLOOKUP(A156,'OPEB Amounts_Report'!$A$10:$A$324,1,FALSE)</f>
        <v>25075</v>
      </c>
      <c r="G156" s="146"/>
      <c r="H156" s="25"/>
    </row>
    <row r="157" spans="1:8">
      <c r="A157" s="143">
        <v>2311</v>
      </c>
      <c r="B157" s="149" t="s">
        <v>440</v>
      </c>
      <c r="C157" s="55">
        <v>30657</v>
      </c>
      <c r="D157" s="57">
        <v>3.0178561756902012E-4</v>
      </c>
      <c r="E157" s="145"/>
      <c r="F157" s="100">
        <f>VLOOKUP(A157,'OPEB Amounts_Report'!$A$10:$A$324,1,FALSE)</f>
        <v>2311</v>
      </c>
      <c r="G157" s="146"/>
      <c r="H157" s="25"/>
    </row>
    <row r="158" spans="1:8">
      <c r="A158" s="147">
        <v>9028</v>
      </c>
      <c r="B158" s="148" t="s">
        <v>147</v>
      </c>
      <c r="C158" s="54">
        <v>27967</v>
      </c>
      <c r="D158" s="56">
        <v>2.7530542344498111E-4</v>
      </c>
      <c r="E158" s="145"/>
      <c r="F158" s="100">
        <f>VLOOKUP(A158,'OPEB Amounts_Report'!$A$10:$A$324,1,FALSE)</f>
        <v>9028</v>
      </c>
      <c r="G158" s="146"/>
      <c r="H158" s="25"/>
    </row>
    <row r="159" spans="1:8">
      <c r="A159" s="143">
        <v>17424</v>
      </c>
      <c r="B159" s="149" t="s">
        <v>148</v>
      </c>
      <c r="C159" s="55">
        <v>51657</v>
      </c>
      <c r="D159" s="57">
        <v>5.0850832262657375E-4</v>
      </c>
      <c r="E159" s="145"/>
      <c r="F159" s="100">
        <f>VLOOKUP(A159,'OPEB Amounts_Report'!$A$10:$A$324,1,FALSE)</f>
        <v>17424</v>
      </c>
      <c r="G159" s="146"/>
      <c r="H159" s="25"/>
    </row>
    <row r="160" spans="1:8">
      <c r="A160" s="147">
        <v>3200</v>
      </c>
      <c r="B160" s="148" t="s">
        <v>149</v>
      </c>
      <c r="C160" s="54">
        <v>206645</v>
      </c>
      <c r="D160" s="56">
        <v>2.0342006374580086E-3</v>
      </c>
      <c r="E160" s="145"/>
      <c r="F160" s="100">
        <f>VLOOKUP(A160,'OPEB Amounts_Report'!$A$10:$A$324,1,FALSE)</f>
        <v>3200</v>
      </c>
      <c r="G160" s="146"/>
      <c r="H160" s="25"/>
    </row>
    <row r="161" spans="1:8">
      <c r="A161" s="143">
        <v>2365</v>
      </c>
      <c r="B161" s="149" t="s">
        <v>150</v>
      </c>
      <c r="C161" s="55">
        <v>29453</v>
      </c>
      <c r="D161" s="57">
        <v>2.8993351581238708E-4</v>
      </c>
      <c r="E161" s="145"/>
      <c r="F161" s="100">
        <f>VLOOKUP(A161,'OPEB Amounts_Report'!$A$10:$A$324,1,FALSE)</f>
        <v>2365</v>
      </c>
      <c r="G161" s="146"/>
      <c r="H161" s="25"/>
    </row>
    <row r="162" spans="1:8">
      <c r="A162" s="147">
        <v>5014</v>
      </c>
      <c r="B162" s="148" t="s">
        <v>151</v>
      </c>
      <c r="C162" s="54">
        <v>41298</v>
      </c>
      <c r="D162" s="56">
        <v>4.065349654031834E-4</v>
      </c>
      <c r="E162" s="145"/>
      <c r="F162" s="100">
        <f>VLOOKUP(A162,'OPEB Amounts_Report'!$A$10:$A$324,1,FALSE)</f>
        <v>5014</v>
      </c>
      <c r="G162" s="146"/>
      <c r="H162" s="25"/>
    </row>
    <row r="163" spans="1:8">
      <c r="A163" s="143">
        <v>17127</v>
      </c>
      <c r="B163" s="149" t="s">
        <v>152</v>
      </c>
      <c r="C163" s="55">
        <v>43230</v>
      </c>
      <c r="D163" s="57">
        <v>4.2555345426847831E-4</v>
      </c>
      <c r="E163" s="145"/>
      <c r="F163" s="100">
        <f>VLOOKUP(A163,'OPEB Amounts_Report'!$A$10:$A$324,1,FALSE)</f>
        <v>17127</v>
      </c>
      <c r="G163" s="146"/>
      <c r="H163" s="25"/>
    </row>
    <row r="164" spans="1:8">
      <c r="A164" s="147">
        <v>10141</v>
      </c>
      <c r="B164" s="148" t="s">
        <v>153</v>
      </c>
      <c r="C164" s="54">
        <v>80024</v>
      </c>
      <c r="D164" s="56">
        <v>7.8775132140598456E-4</v>
      </c>
      <c r="E164" s="145"/>
      <c r="F164" s="100">
        <f>VLOOKUP(A164,'OPEB Amounts_Report'!$A$10:$A$324,1,FALSE)</f>
        <v>10141</v>
      </c>
      <c r="G164" s="146"/>
      <c r="H164" s="25"/>
    </row>
    <row r="165" spans="1:8">
      <c r="A165" s="143">
        <v>13369</v>
      </c>
      <c r="B165" s="149" t="s">
        <v>154</v>
      </c>
      <c r="C165" s="55">
        <v>14649</v>
      </c>
      <c r="D165" s="57">
        <v>1.4420385268514781E-4</v>
      </c>
      <c r="E165" s="145"/>
      <c r="F165" s="100">
        <f>VLOOKUP(A165,'OPEB Amounts_Report'!$A$10:$A$324,1,FALSE)</f>
        <v>13369</v>
      </c>
      <c r="G165" s="146"/>
      <c r="H165" s="25"/>
    </row>
    <row r="166" spans="1:8">
      <c r="A166" s="147">
        <v>4570</v>
      </c>
      <c r="B166" s="148" t="s">
        <v>412</v>
      </c>
      <c r="C166" s="54">
        <v>156570</v>
      </c>
      <c r="D166" s="56">
        <v>1.5412654252791038E-3</v>
      </c>
      <c r="E166" s="145"/>
      <c r="F166" s="100">
        <f>VLOOKUP(A166,'OPEB Amounts_Report'!$A$10:$A$324,1,FALSE)</f>
        <v>4570</v>
      </c>
      <c r="G166" s="146"/>
      <c r="H166" s="25"/>
    </row>
    <row r="167" spans="1:8">
      <c r="A167" s="143">
        <v>2425</v>
      </c>
      <c r="B167" s="149" t="s">
        <v>155</v>
      </c>
      <c r="C167" s="55">
        <v>256458</v>
      </c>
      <c r="D167" s="57">
        <v>2.5245567377928618E-3</v>
      </c>
      <c r="E167" s="145"/>
      <c r="F167" s="100">
        <f>VLOOKUP(A167,'OPEB Amounts_Report'!$A$10:$A$324,1,FALSE)</f>
        <v>2425</v>
      </c>
      <c r="G167" s="146"/>
      <c r="H167" s="25"/>
    </row>
    <row r="168" spans="1:8">
      <c r="A168" s="147">
        <v>1306</v>
      </c>
      <c r="B168" s="148" t="s">
        <v>156</v>
      </c>
      <c r="C168" s="54">
        <v>52400</v>
      </c>
      <c r="D168" s="56">
        <v>5.1582236881027679E-4</v>
      </c>
      <c r="E168" s="145"/>
      <c r="F168" s="100">
        <f>VLOOKUP(A168,'OPEB Amounts_Report'!$A$10:$A$324,1,FALSE)</f>
        <v>1306</v>
      </c>
      <c r="G168" s="146"/>
      <c r="H168" s="25"/>
    </row>
    <row r="169" spans="1:8">
      <c r="A169" s="143">
        <v>2351</v>
      </c>
      <c r="B169" s="149" t="s">
        <v>157</v>
      </c>
      <c r="C169" s="55">
        <v>43051</v>
      </c>
      <c r="D169" s="57">
        <v>4.2379138930632109E-4</v>
      </c>
      <c r="E169" s="145"/>
      <c r="F169" s="100">
        <f>VLOOKUP(A169,'OPEB Amounts_Report'!$A$10:$A$324,1,FALSE)</f>
        <v>2351</v>
      </c>
      <c r="G169" s="146"/>
      <c r="H169" s="25"/>
    </row>
    <row r="170" spans="1:8">
      <c r="A170" s="147">
        <v>2334</v>
      </c>
      <c r="B170" s="148" t="s">
        <v>158</v>
      </c>
      <c r="C170" s="54">
        <v>31173</v>
      </c>
      <c r="D170" s="56">
        <v>3.0686508975043432E-4</v>
      </c>
      <c r="E170" s="145"/>
      <c r="F170" s="100">
        <f>VLOOKUP(A170,'OPEB Amounts_Report'!$A$10:$A$324,1,FALSE)</f>
        <v>2334</v>
      </c>
      <c r="G170" s="146"/>
      <c r="H170" s="25"/>
    </row>
    <row r="171" spans="1:8">
      <c r="A171" s="143">
        <v>30089</v>
      </c>
      <c r="B171" s="149" t="s">
        <v>159</v>
      </c>
      <c r="C171" s="55">
        <v>90161</v>
      </c>
      <c r="D171" s="57">
        <v>8.8753932431876652E-4</v>
      </c>
      <c r="E171" s="145"/>
      <c r="F171" s="100">
        <f>VLOOKUP(A171,'OPEB Amounts_Report'!$A$10:$A$324,1,FALSE)</f>
        <v>30089</v>
      </c>
      <c r="G171" s="146"/>
      <c r="H171" s="25"/>
    </row>
    <row r="172" spans="1:8">
      <c r="A172" s="147">
        <v>9324</v>
      </c>
      <c r="B172" s="148" t="s">
        <v>160</v>
      </c>
      <c r="C172" s="54">
        <v>10817</v>
      </c>
      <c r="D172" s="56">
        <v>1.0648188098131229E-4</v>
      </c>
      <c r="E172" s="145"/>
      <c r="F172" s="100">
        <f>VLOOKUP(A172,'OPEB Amounts_Report'!$A$10:$A$324,1,FALSE)</f>
        <v>9324</v>
      </c>
      <c r="G172" s="146"/>
      <c r="H172" s="25"/>
    </row>
    <row r="173" spans="1:8">
      <c r="A173" s="143">
        <v>22066</v>
      </c>
      <c r="B173" s="149" t="s">
        <v>161</v>
      </c>
      <c r="C173" s="55">
        <v>315922</v>
      </c>
      <c r="D173" s="57">
        <v>3.1099166870091652E-3</v>
      </c>
      <c r="E173" s="145"/>
      <c r="F173" s="100">
        <f>VLOOKUP(A173,'OPEB Amounts_Report'!$A$10:$A$324,1,FALSE)</f>
        <v>22066</v>
      </c>
      <c r="G173" s="146"/>
      <c r="H173" s="25"/>
    </row>
    <row r="174" spans="1:8">
      <c r="A174" s="147">
        <v>16356</v>
      </c>
      <c r="B174" s="148" t="s">
        <v>162</v>
      </c>
      <c r="C174" s="54">
        <v>19522</v>
      </c>
      <c r="D174" s="56">
        <v>1.9217336419683631E-4</v>
      </c>
      <c r="E174" s="145"/>
      <c r="F174" s="100">
        <f>VLOOKUP(A174,'OPEB Amounts_Report'!$A$10:$A$324,1,FALSE)</f>
        <v>16356</v>
      </c>
      <c r="G174" s="146"/>
      <c r="H174" s="25"/>
    </row>
    <row r="175" spans="1:8">
      <c r="A175" s="143">
        <v>31091</v>
      </c>
      <c r="B175" s="149" t="s">
        <v>163</v>
      </c>
      <c r="C175" s="55">
        <v>18343</v>
      </c>
      <c r="D175" s="57">
        <v>1.805673608986051E-4</v>
      </c>
      <c r="E175" s="145"/>
      <c r="F175" s="100">
        <f>VLOOKUP(A175,'OPEB Amounts_Report'!$A$10:$A$324,1,FALSE)</f>
        <v>31091</v>
      </c>
      <c r="G175" s="146"/>
      <c r="H175" s="25"/>
    </row>
    <row r="176" spans="1:8">
      <c r="A176" s="147">
        <v>2342</v>
      </c>
      <c r="B176" s="148" t="s">
        <v>164</v>
      </c>
      <c r="C176" s="54">
        <v>32599</v>
      </c>
      <c r="D176" s="56">
        <v>3.209025458176758E-4</v>
      </c>
      <c r="E176" s="145"/>
      <c r="F176" s="100">
        <f>VLOOKUP(A176,'OPEB Amounts_Report'!$A$10:$A$324,1,FALSE)</f>
        <v>2342</v>
      </c>
      <c r="G176" s="146"/>
      <c r="H176" s="25"/>
    </row>
    <row r="177" spans="1:8">
      <c r="A177" s="143">
        <v>22067</v>
      </c>
      <c r="B177" s="149" t="s">
        <v>165</v>
      </c>
      <c r="C177" s="55">
        <v>47097</v>
      </c>
      <c r="D177" s="57">
        <v>4.6361996381407642E-4</v>
      </c>
      <c r="E177" s="145"/>
      <c r="F177" s="100">
        <f>VLOOKUP(A177,'OPEB Amounts_Report'!$A$10:$A$324,1,FALSE)</f>
        <v>22067</v>
      </c>
      <c r="G177" s="146"/>
      <c r="H177" s="25"/>
    </row>
    <row r="178" spans="1:8">
      <c r="A178" s="147">
        <v>32112</v>
      </c>
      <c r="B178" s="148" t="s">
        <v>166</v>
      </c>
      <c r="C178" s="54">
        <v>24845</v>
      </c>
      <c r="D178" s="56">
        <v>2.4457264795975814E-4</v>
      </c>
      <c r="E178" s="145"/>
      <c r="F178" s="100">
        <f>VLOOKUP(A178,'OPEB Amounts_Report'!$A$10:$A$324,1,FALSE)</f>
        <v>32112</v>
      </c>
      <c r="G178" s="146"/>
      <c r="H178" s="25"/>
    </row>
    <row r="179" spans="1:8">
      <c r="A179" s="143">
        <v>2354</v>
      </c>
      <c r="B179" s="149" t="s">
        <v>167</v>
      </c>
      <c r="C179" s="55">
        <v>79456</v>
      </c>
      <c r="D179" s="57">
        <v>7.8215996443109449E-4</v>
      </c>
      <c r="E179" s="145"/>
      <c r="F179" s="100">
        <f>VLOOKUP(A179,'OPEB Amounts_Report'!$A$10:$A$324,1,FALSE)</f>
        <v>2354</v>
      </c>
      <c r="G179" s="146"/>
      <c r="H179" s="25"/>
    </row>
    <row r="180" spans="1:8">
      <c r="A180" s="147">
        <v>2148</v>
      </c>
      <c r="B180" s="148" t="s">
        <v>168</v>
      </c>
      <c r="C180" s="54">
        <v>23846</v>
      </c>
      <c r="D180" s="56">
        <v>2.3473855356202024E-4</v>
      </c>
      <c r="E180" s="145"/>
      <c r="F180" s="100">
        <f>VLOOKUP(A180,'OPEB Amounts_Report'!$A$10:$A$324,1,FALSE)</f>
        <v>2148</v>
      </c>
      <c r="G180" s="146"/>
      <c r="H180" s="25"/>
    </row>
    <row r="181" spans="1:8">
      <c r="A181" s="143">
        <v>1418</v>
      </c>
      <c r="B181" s="149" t="s">
        <v>169</v>
      </c>
      <c r="C181" s="55">
        <v>99627</v>
      </c>
      <c r="D181" s="57">
        <v>9.807220446080428E-4</v>
      </c>
      <c r="E181" s="145"/>
      <c r="F181" s="100">
        <f>VLOOKUP(A181,'OPEB Amounts_Report'!$A$10:$A$324,1,FALSE)</f>
        <v>1418</v>
      </c>
      <c r="G181" s="146"/>
      <c r="H181" s="25"/>
    </row>
    <row r="182" spans="1:8">
      <c r="A182" s="147">
        <v>12102</v>
      </c>
      <c r="B182" s="148" t="s">
        <v>170</v>
      </c>
      <c r="C182" s="54">
        <v>558994</v>
      </c>
      <c r="D182" s="56">
        <v>5.5027024662353411E-3</v>
      </c>
      <c r="E182" s="145"/>
      <c r="F182" s="100">
        <f>VLOOKUP(A182,'OPEB Amounts_Report'!$A$10:$A$324,1,FALSE)</f>
        <v>12102</v>
      </c>
      <c r="G182" s="146"/>
      <c r="H182" s="25"/>
    </row>
    <row r="183" spans="1:8">
      <c r="A183" s="143">
        <v>2414</v>
      </c>
      <c r="B183" s="149" t="s">
        <v>171</v>
      </c>
      <c r="C183" s="55">
        <v>47269</v>
      </c>
      <c r="D183" s="57">
        <v>4.6531312120788116E-4</v>
      </c>
      <c r="E183" s="145"/>
      <c r="F183" s="100">
        <f>VLOOKUP(A183,'OPEB Amounts_Report'!$A$10:$A$324,1,FALSE)</f>
        <v>2414</v>
      </c>
      <c r="G183" s="146"/>
      <c r="H183" s="25"/>
    </row>
    <row r="184" spans="1:8">
      <c r="A184" s="147">
        <v>6124</v>
      </c>
      <c r="B184" s="148" t="s">
        <v>172</v>
      </c>
      <c r="C184" s="54">
        <v>247360</v>
      </c>
      <c r="D184" s="56">
        <v>2.4349965868112606E-3</v>
      </c>
      <c r="E184" s="145"/>
      <c r="F184" s="100">
        <f>VLOOKUP(A184,'OPEB Amounts_Report'!$A$10:$A$324,1,FALSE)</f>
        <v>6124</v>
      </c>
      <c r="G184" s="146"/>
      <c r="H184" s="25"/>
    </row>
    <row r="185" spans="1:8">
      <c r="A185" s="143">
        <v>4097</v>
      </c>
      <c r="B185" s="149" t="s">
        <v>173</v>
      </c>
      <c r="C185" s="55">
        <v>297604</v>
      </c>
      <c r="D185" s="57">
        <v>2.9295954245689621E-3</v>
      </c>
      <c r="E185" s="145"/>
      <c r="F185" s="100">
        <f>VLOOKUP(A185,'OPEB Amounts_Report'!$A$10:$A$324,1,FALSE)</f>
        <v>4097</v>
      </c>
      <c r="G185" s="146"/>
      <c r="H185" s="25"/>
    </row>
    <row r="186" spans="1:8">
      <c r="A186" s="147">
        <v>1416</v>
      </c>
      <c r="B186" s="148" t="s">
        <v>174</v>
      </c>
      <c r="C186" s="54">
        <v>38664</v>
      </c>
      <c r="D186" s="56">
        <v>3.8060603182596452E-4</v>
      </c>
      <c r="E186" s="145"/>
      <c r="F186" s="100">
        <f>VLOOKUP(A186,'OPEB Amounts_Report'!$A$10:$A$324,1,FALSE)</f>
        <v>1416</v>
      </c>
      <c r="G186" s="146"/>
      <c r="H186" s="25"/>
    </row>
    <row r="187" spans="1:8">
      <c r="A187" s="143">
        <v>1094</v>
      </c>
      <c r="B187" s="149" t="s">
        <v>175</v>
      </c>
      <c r="C187" s="55">
        <v>209241</v>
      </c>
      <c r="D187" s="57">
        <v>2.0597555013784565E-3</v>
      </c>
      <c r="E187" s="145"/>
      <c r="F187" s="100">
        <f>VLOOKUP(A187,'OPEB Amounts_Report'!$A$10:$A$324,1,FALSE)</f>
        <v>1094</v>
      </c>
      <c r="G187" s="146"/>
      <c r="H187" s="25"/>
    </row>
    <row r="188" spans="1:8">
      <c r="A188" s="147">
        <v>32111</v>
      </c>
      <c r="B188" s="148" t="s">
        <v>176</v>
      </c>
      <c r="C188" s="54">
        <v>209883</v>
      </c>
      <c r="D188" s="56">
        <v>2.0660753097902162E-3</v>
      </c>
      <c r="E188" s="145"/>
      <c r="F188" s="100">
        <f>VLOOKUP(A188,'OPEB Amounts_Report'!$A$10:$A$324,1,FALSE)</f>
        <v>32111</v>
      </c>
      <c r="G188" s="146"/>
      <c r="H188" s="25"/>
    </row>
    <row r="189" spans="1:8">
      <c r="A189" s="143">
        <v>2520</v>
      </c>
      <c r="B189" s="149" t="s">
        <v>177</v>
      </c>
      <c r="C189" s="55">
        <v>31600</v>
      </c>
      <c r="D189" s="57">
        <v>3.110684514199379E-4</v>
      </c>
      <c r="E189" s="145"/>
      <c r="F189" s="100">
        <f>VLOOKUP(A189,'OPEB Amounts_Report'!$A$10:$A$324,1,FALSE)</f>
        <v>2520</v>
      </c>
      <c r="G189" s="146"/>
      <c r="H189" s="25"/>
    </row>
    <row r="190" spans="1:8">
      <c r="A190" s="147">
        <v>3450</v>
      </c>
      <c r="B190" s="148" t="s">
        <v>178</v>
      </c>
      <c r="C190" s="54">
        <v>56558</v>
      </c>
      <c r="D190" s="56">
        <v>5.5675346441167242E-4</v>
      </c>
      <c r="E190" s="145"/>
      <c r="F190" s="100">
        <f>VLOOKUP(A190,'OPEB Amounts_Report'!$A$10:$A$324,1,FALSE)</f>
        <v>3450</v>
      </c>
      <c r="G190" s="146"/>
      <c r="H190" s="25"/>
    </row>
    <row r="191" spans="1:8">
      <c r="A191" s="143">
        <v>4310</v>
      </c>
      <c r="B191" s="149" t="s">
        <v>179</v>
      </c>
      <c r="C191" s="55">
        <v>29801</v>
      </c>
      <c r="D191" s="57">
        <v>2.9335920635334081E-4</v>
      </c>
      <c r="E191" s="145"/>
      <c r="F191" s="100">
        <f>VLOOKUP(A191,'OPEB Amounts_Report'!$A$10:$A$324,1,FALSE)</f>
        <v>4310</v>
      </c>
      <c r="G191" s="146"/>
      <c r="H191" s="25"/>
    </row>
    <row r="192" spans="1:8">
      <c r="A192" s="147">
        <v>2328</v>
      </c>
      <c r="B192" s="148" t="s">
        <v>180</v>
      </c>
      <c r="C192" s="54">
        <v>56008</v>
      </c>
      <c r="D192" s="56">
        <v>5.5133929832683175E-4</v>
      </c>
      <c r="E192" s="145"/>
      <c r="F192" s="100">
        <f>VLOOKUP(A192,'OPEB Amounts_Report'!$A$10:$A$324,1,FALSE)</f>
        <v>2328</v>
      </c>
      <c r="G192" s="146"/>
      <c r="H192" s="25"/>
    </row>
    <row r="193" spans="1:8">
      <c r="A193" s="143">
        <v>12151</v>
      </c>
      <c r="B193" s="149" t="s">
        <v>181</v>
      </c>
      <c r="C193" s="55">
        <v>16478</v>
      </c>
      <c r="D193" s="57">
        <v>1.6220841590182711E-4</v>
      </c>
      <c r="E193" s="145"/>
      <c r="F193" s="100">
        <f>VLOOKUP(A193,'OPEB Amounts_Report'!$A$10:$A$324,1,FALSE)</f>
        <v>12151</v>
      </c>
      <c r="G193" s="146"/>
      <c r="H193" s="25"/>
    </row>
    <row r="194" spans="1:8">
      <c r="A194" s="147">
        <v>32110</v>
      </c>
      <c r="B194" s="148" t="s">
        <v>182</v>
      </c>
      <c r="C194" s="54">
        <v>197699</v>
      </c>
      <c r="D194" s="56">
        <v>1.9461367651034905E-3</v>
      </c>
      <c r="E194" s="145"/>
      <c r="F194" s="100">
        <f>VLOOKUP(A194,'OPEB Amounts_Report'!$A$10:$A$324,1,FALSE)</f>
        <v>32110</v>
      </c>
      <c r="G194" s="146"/>
      <c r="H194" s="25"/>
    </row>
    <row r="195" spans="1:8">
      <c r="A195" s="143">
        <v>2870</v>
      </c>
      <c r="B195" s="149" t="s">
        <v>184</v>
      </c>
      <c r="C195" s="55">
        <v>34586</v>
      </c>
      <c r="D195" s="57">
        <v>3.4046245129145482E-4</v>
      </c>
      <c r="E195" s="145"/>
      <c r="F195" s="100">
        <f>VLOOKUP(A195,'OPEB Amounts_Report'!$A$10:$A$324,1,FALSE)</f>
        <v>2870</v>
      </c>
      <c r="G195" s="146"/>
      <c r="H195" s="25"/>
    </row>
    <row r="196" spans="1:8">
      <c r="A196" s="147">
        <v>29150</v>
      </c>
      <c r="B196" s="148" t="s">
        <v>185</v>
      </c>
      <c r="C196" s="54">
        <v>8728</v>
      </c>
      <c r="D196" s="56">
        <v>8.5917893797253736E-5</v>
      </c>
      <c r="E196" s="145"/>
      <c r="F196" s="100">
        <f>VLOOKUP(A196,'OPEB Amounts_Report'!$A$10:$A$324,1,FALSE)</f>
        <v>29150</v>
      </c>
      <c r="G196" s="146"/>
      <c r="H196" s="25"/>
    </row>
    <row r="197" spans="1:8">
      <c r="A197" s="143">
        <v>32118</v>
      </c>
      <c r="B197" s="149" t="s">
        <v>187</v>
      </c>
      <c r="C197" s="55">
        <v>104837</v>
      </c>
      <c r="D197" s="57">
        <v>1.0320089633389883E-3</v>
      </c>
      <c r="E197" s="145"/>
      <c r="F197" s="100">
        <f>VLOOKUP(A197,'OPEB Amounts_Report'!$A$10:$A$324,1,FALSE)</f>
        <v>32118</v>
      </c>
      <c r="G197" s="146"/>
      <c r="H197" s="25"/>
    </row>
    <row r="198" spans="1:8">
      <c r="A198" s="147">
        <v>12039</v>
      </c>
      <c r="B198" s="148" t="s">
        <v>188</v>
      </c>
      <c r="C198" s="54">
        <v>88311</v>
      </c>
      <c r="D198" s="56">
        <v>8.6932803839702964E-4</v>
      </c>
      <c r="E198" s="145"/>
      <c r="F198" s="100">
        <f>VLOOKUP(A198,'OPEB Amounts_Report'!$A$10:$A$324,1,FALSE)</f>
        <v>12039</v>
      </c>
      <c r="G198" s="146"/>
      <c r="H198" s="25"/>
    </row>
    <row r="199" spans="1:8">
      <c r="A199" s="143">
        <v>12150</v>
      </c>
      <c r="B199" s="149" t="s">
        <v>189</v>
      </c>
      <c r="C199" s="108">
        <v>16510</v>
      </c>
      <c r="D199" s="57">
        <v>1.6252342192858149E-4</v>
      </c>
      <c r="E199" s="145"/>
      <c r="F199" s="100">
        <f>VLOOKUP(A199,'OPEB Amounts_Report'!$A$10:$A$324,1,FALSE)</f>
        <v>12150</v>
      </c>
      <c r="G199" s="146"/>
      <c r="H199" s="25"/>
    </row>
    <row r="200" spans="1:8">
      <c r="A200" s="147">
        <v>20060</v>
      </c>
      <c r="B200" s="148" t="s">
        <v>190</v>
      </c>
      <c r="C200" s="54">
        <v>67365</v>
      </c>
      <c r="D200" s="56">
        <v>6.6313690600962392E-4</v>
      </c>
      <c r="E200" s="145"/>
      <c r="F200" s="100">
        <f>VLOOKUP(A200,'OPEB Amounts_Report'!$A$10:$A$324,1,FALSE)</f>
        <v>20060</v>
      </c>
      <c r="G200" s="146"/>
      <c r="H200" s="25"/>
    </row>
    <row r="201" spans="1:8">
      <c r="A201" s="143">
        <v>1001</v>
      </c>
      <c r="B201" s="144" t="s">
        <v>191</v>
      </c>
      <c r="C201" s="107">
        <v>196811</v>
      </c>
      <c r="D201" s="66">
        <v>1.937395347861057E-3</v>
      </c>
      <c r="E201" s="145"/>
      <c r="F201" s="100">
        <f>VLOOKUP(A201,'OPEB Amounts_Report'!$A$10:$A$324,1,FALSE)</f>
        <v>1001</v>
      </c>
      <c r="G201" s="146"/>
      <c r="H201" s="25"/>
    </row>
    <row r="202" spans="1:8">
      <c r="A202" s="147">
        <v>11035</v>
      </c>
      <c r="B202" s="148" t="s">
        <v>192</v>
      </c>
      <c r="C202" s="54">
        <v>396610</v>
      </c>
      <c r="D202" s="56">
        <v>3.9042043834703029E-3</v>
      </c>
      <c r="E202" s="145"/>
      <c r="F202" s="100">
        <f>VLOOKUP(A202,'OPEB Amounts_Report'!$A$10:$A$324,1,FALSE)</f>
        <v>11035</v>
      </c>
      <c r="G202" s="146"/>
      <c r="H202" s="25"/>
    </row>
    <row r="203" spans="1:8">
      <c r="A203" s="143">
        <v>2320</v>
      </c>
      <c r="B203" s="149" t="s">
        <v>193</v>
      </c>
      <c r="C203" s="55">
        <v>46072</v>
      </c>
      <c r="D203" s="57">
        <v>4.5352992701960061E-4</v>
      </c>
      <c r="E203" s="145"/>
      <c r="F203" s="100">
        <f>VLOOKUP(A203,'OPEB Amounts_Report'!$A$10:$A$324,1,FALSE)</f>
        <v>2320</v>
      </c>
      <c r="G203" s="146"/>
      <c r="H203" s="25"/>
    </row>
    <row r="204" spans="1:8">
      <c r="A204" s="147">
        <v>28084</v>
      </c>
      <c r="B204" s="148" t="s">
        <v>194</v>
      </c>
      <c r="C204" s="54">
        <v>39468</v>
      </c>
      <c r="D204" s="56">
        <v>3.8852055824816802E-4</v>
      </c>
      <c r="E204" s="145"/>
      <c r="F204" s="100">
        <f>VLOOKUP(A204,'OPEB Amounts_Report'!$A$10:$A$324,1,FALSE)</f>
        <v>28084</v>
      </c>
      <c r="G204" s="146"/>
      <c r="H204" s="25"/>
    </row>
    <row r="205" spans="1:8">
      <c r="A205" s="143">
        <v>20125</v>
      </c>
      <c r="B205" s="149" t="s">
        <v>195</v>
      </c>
      <c r="C205" s="55">
        <v>49222</v>
      </c>
      <c r="D205" s="57">
        <v>4.8453833277823364E-4</v>
      </c>
      <c r="E205" s="145"/>
      <c r="F205" s="100">
        <f>VLOOKUP(A205,'OPEB Amounts_Report'!$A$10:$A$324,1,FALSE)</f>
        <v>20125</v>
      </c>
      <c r="G205" s="146"/>
      <c r="H205" s="25"/>
    </row>
    <row r="206" spans="1:8">
      <c r="A206" s="147">
        <v>7445</v>
      </c>
      <c r="B206" s="148" t="s">
        <v>428</v>
      </c>
      <c r="C206" s="54">
        <v>13258</v>
      </c>
      <c r="D206" s="56">
        <v>1.3051093445966887E-4</v>
      </c>
      <c r="E206" s="145"/>
      <c r="F206" s="100">
        <f>VLOOKUP(A206,'OPEB Amounts_Report'!$A$10:$A$324,1,FALSE)</f>
        <v>7445</v>
      </c>
      <c r="G206" s="146"/>
      <c r="H206" s="25"/>
    </row>
    <row r="207" spans="1:8">
      <c r="A207" s="143">
        <v>9029</v>
      </c>
      <c r="B207" s="149" t="s">
        <v>197</v>
      </c>
      <c r="C207" s="55">
        <v>118423</v>
      </c>
      <c r="D207" s="57">
        <v>1.1657487095728895E-3</v>
      </c>
      <c r="E207" s="145"/>
      <c r="F207" s="100">
        <f>VLOOKUP(A207,'OPEB Amounts_Report'!$A$10:$A$324,1,FALSE)</f>
        <v>9029</v>
      </c>
      <c r="G207" s="146"/>
      <c r="H207" s="25"/>
    </row>
    <row r="208" spans="1:8">
      <c r="A208" s="147">
        <v>2580</v>
      </c>
      <c r="B208" s="148" t="s">
        <v>198</v>
      </c>
      <c r="C208" s="54">
        <v>15523</v>
      </c>
      <c r="D208" s="56">
        <v>1.5280745479087646E-4</v>
      </c>
      <c r="E208" s="145"/>
      <c r="F208" s="100">
        <f>VLOOKUP(A208,'OPEB Amounts_Report'!$A$10:$A$324,1,FALSE)</f>
        <v>2580</v>
      </c>
      <c r="G208" s="146"/>
      <c r="H208" s="25"/>
    </row>
    <row r="209" spans="1:8">
      <c r="A209" s="143">
        <v>20312</v>
      </c>
      <c r="B209" s="149" t="s">
        <v>199</v>
      </c>
      <c r="C209" s="55">
        <v>13210</v>
      </c>
      <c r="D209" s="57">
        <v>1.3003842541953734E-4</v>
      </c>
      <c r="E209" s="145"/>
      <c r="F209" s="100">
        <f>VLOOKUP(A209,'OPEB Amounts_Report'!$A$10:$A$324,1,FALSE)</f>
        <v>20312</v>
      </c>
      <c r="G209" s="146"/>
      <c r="H209" s="25"/>
    </row>
    <row r="210" spans="1:8">
      <c r="A210" s="147">
        <v>26150</v>
      </c>
      <c r="B210" s="148" t="s">
        <v>200</v>
      </c>
      <c r="C210" s="54">
        <v>90913</v>
      </c>
      <c r="D210" s="56">
        <v>8.9494196594749409E-4</v>
      </c>
      <c r="E210" s="145"/>
      <c r="F210" s="100">
        <f>VLOOKUP(A210,'OPEB Amounts_Report'!$A$10:$A$324,1,FALSE)</f>
        <v>26150</v>
      </c>
      <c r="G210" s="146"/>
      <c r="H210" s="25"/>
    </row>
    <row r="211" spans="1:8">
      <c r="A211" s="143">
        <v>5016</v>
      </c>
      <c r="B211" s="149" t="s">
        <v>201</v>
      </c>
      <c r="C211" s="55">
        <v>9973</v>
      </c>
      <c r="D211" s="57">
        <v>9.817359702566584E-5</v>
      </c>
      <c r="E211" s="145"/>
      <c r="F211" s="100">
        <f>VLOOKUP(A211,'OPEB Amounts_Report'!$A$10:$A$324,1,FALSE)</f>
        <v>5016</v>
      </c>
      <c r="G211" s="146"/>
      <c r="H211" s="25"/>
    </row>
    <row r="212" spans="1:8">
      <c r="A212" s="147">
        <v>6150</v>
      </c>
      <c r="B212" s="148" t="s">
        <v>202</v>
      </c>
      <c r="C212" s="54">
        <v>9345</v>
      </c>
      <c r="D212" s="56">
        <v>9.1991603750611389E-5</v>
      </c>
      <c r="E212" s="145"/>
      <c r="F212" s="100">
        <f>VLOOKUP(A212,'OPEB Amounts_Report'!$A$10:$A$324,1,FALSE)</f>
        <v>6150</v>
      </c>
      <c r="G212" s="146"/>
      <c r="H212" s="25"/>
    </row>
    <row r="213" spans="1:8">
      <c r="A213" s="143">
        <v>4480</v>
      </c>
      <c r="B213" s="149" t="s">
        <v>203</v>
      </c>
      <c r="C213" s="55">
        <v>15104</v>
      </c>
      <c r="D213" s="57">
        <v>1.4868284462806144E-4</v>
      </c>
      <c r="E213" s="145"/>
      <c r="F213" s="100">
        <f>VLOOKUP(A213,'OPEB Amounts_Report'!$A$10:$A$324,1,FALSE)</f>
        <v>4480</v>
      </c>
      <c r="G213" s="146"/>
      <c r="H213" s="25"/>
    </row>
    <row r="214" spans="1:8">
      <c r="A214" s="147">
        <v>28085</v>
      </c>
      <c r="B214" s="148" t="s">
        <v>204</v>
      </c>
      <c r="C214" s="54">
        <v>31620</v>
      </c>
      <c r="D214" s="56">
        <v>3.112653301866594E-4</v>
      </c>
      <c r="E214" s="145"/>
      <c r="F214" s="100">
        <f>VLOOKUP(A214,'OPEB Amounts_Report'!$A$10:$A$324,1,FALSE)</f>
        <v>28085</v>
      </c>
      <c r="G214" s="146"/>
      <c r="H214" s="25"/>
    </row>
    <row r="215" spans="1:8">
      <c r="A215" s="143">
        <v>3240</v>
      </c>
      <c r="B215" s="149" t="s">
        <v>205</v>
      </c>
      <c r="C215" s="55">
        <v>191264</v>
      </c>
      <c r="D215" s="57">
        <v>1.8827910219108546E-3</v>
      </c>
      <c r="E215" s="145"/>
      <c r="F215" s="100">
        <f>VLOOKUP(A215,'OPEB Amounts_Report'!$A$10:$A$324,1,FALSE)</f>
        <v>3240</v>
      </c>
      <c r="G215" s="146"/>
      <c r="H215" s="25"/>
    </row>
    <row r="216" spans="1:8">
      <c r="A216" s="147">
        <v>12326</v>
      </c>
      <c r="B216" s="148" t="s">
        <v>206</v>
      </c>
      <c r="C216" s="54">
        <v>11796</v>
      </c>
      <c r="D216" s="56">
        <v>1.1611909661232872E-4</v>
      </c>
      <c r="E216" s="145"/>
      <c r="F216" s="100">
        <f>VLOOKUP(A216,'OPEB Amounts_Report'!$A$10:$A$324,1,FALSE)</f>
        <v>12326</v>
      </c>
      <c r="G216" s="146"/>
      <c r="H216" s="25"/>
    </row>
    <row r="217" spans="1:8">
      <c r="A217" s="143">
        <v>2445</v>
      </c>
      <c r="B217" s="149" t="s">
        <v>533</v>
      </c>
      <c r="C217" s="55">
        <v>3360</v>
      </c>
      <c r="D217" s="57">
        <v>3.3075632809208589E-5</v>
      </c>
      <c r="E217" s="145"/>
      <c r="F217" s="100">
        <f>VLOOKUP(A217,'OPEB Amounts_Report'!$A$10:$A$324,1,FALSE)</f>
        <v>2445</v>
      </c>
      <c r="G217" s="146"/>
      <c r="H217" s="25"/>
    </row>
    <row r="218" spans="1:8">
      <c r="A218" s="147">
        <v>29123</v>
      </c>
      <c r="B218" s="148" t="s">
        <v>207</v>
      </c>
      <c r="C218" s="54">
        <v>2252297</v>
      </c>
      <c r="D218" s="56">
        <v>2.2171472782524425E-2</v>
      </c>
      <c r="E218" s="145"/>
      <c r="F218" s="100">
        <f>VLOOKUP(A218,'OPEB Amounts_Report'!$A$10:$A$324,1,FALSE)</f>
        <v>29123</v>
      </c>
      <c r="G218" s="146"/>
      <c r="H218" s="25"/>
    </row>
    <row r="219" spans="1:8">
      <c r="A219" s="143">
        <v>2318</v>
      </c>
      <c r="B219" s="149" t="s">
        <v>208</v>
      </c>
      <c r="C219" s="55">
        <v>52890</v>
      </c>
      <c r="D219" s="57">
        <v>5.2064589859495303E-4</v>
      </c>
      <c r="E219" s="145"/>
      <c r="F219" s="100">
        <f>VLOOKUP(A219,'OPEB Amounts_Report'!$A$10:$A$324,1,FALSE)</f>
        <v>2318</v>
      </c>
      <c r="G219" s="146"/>
      <c r="H219" s="25"/>
    </row>
    <row r="220" spans="1:8">
      <c r="A220" s="147">
        <v>3250</v>
      </c>
      <c r="B220" s="148" t="s">
        <v>209</v>
      </c>
      <c r="C220" s="54">
        <v>71803</v>
      </c>
      <c r="D220" s="56">
        <v>7.0682430434512028E-4</v>
      </c>
      <c r="E220" s="145"/>
      <c r="F220" s="100">
        <f>VLOOKUP(A220,'OPEB Amounts_Report'!$A$10:$A$324,1,FALSE)</f>
        <v>3250</v>
      </c>
      <c r="G220" s="146"/>
      <c r="H220" s="25"/>
    </row>
    <row r="221" spans="1:8">
      <c r="A221" s="143">
        <v>2313</v>
      </c>
      <c r="B221" s="149" t="s">
        <v>210</v>
      </c>
      <c r="C221" s="55">
        <v>8843</v>
      </c>
      <c r="D221" s="57">
        <v>8.7049946705902243E-5</v>
      </c>
      <c r="E221" s="145"/>
      <c r="F221" s="100">
        <f>VLOOKUP(A221,'OPEB Amounts_Report'!$A$10:$A$324,1,FALSE)</f>
        <v>2313</v>
      </c>
      <c r="G221" s="146"/>
      <c r="H221" s="25"/>
    </row>
    <row r="222" spans="1:8">
      <c r="A222" s="147">
        <v>4011</v>
      </c>
      <c r="B222" s="148" t="s">
        <v>211</v>
      </c>
      <c r="C222" s="54">
        <v>1325889</v>
      </c>
      <c r="D222" s="56">
        <v>1.3051969556478799E-2</v>
      </c>
      <c r="E222" s="145"/>
      <c r="F222" s="100">
        <f>VLOOKUP(A222,'OPEB Amounts_Report'!$A$10:$A$324,1,FALSE)</f>
        <v>4011</v>
      </c>
      <c r="G222" s="146"/>
      <c r="H222" s="25"/>
    </row>
    <row r="223" spans="1:8">
      <c r="A223" s="143">
        <v>31092</v>
      </c>
      <c r="B223" s="149" t="s">
        <v>212</v>
      </c>
      <c r="C223" s="55">
        <v>22792</v>
      </c>
      <c r="D223" s="57">
        <v>2.2436304255579826E-4</v>
      </c>
      <c r="E223" s="145"/>
      <c r="F223" s="100">
        <f>VLOOKUP(A223,'OPEB Amounts_Report'!$A$10:$A$324,1,FALSE)</f>
        <v>31092</v>
      </c>
      <c r="G223" s="146"/>
      <c r="H223" s="25"/>
    </row>
    <row r="224" spans="1:8">
      <c r="A224" s="147">
        <v>26081</v>
      </c>
      <c r="B224" s="148" t="s">
        <v>213</v>
      </c>
      <c r="C224" s="54">
        <v>216735</v>
      </c>
      <c r="D224" s="56">
        <v>2.1335259752689952E-3</v>
      </c>
      <c r="E224" s="145"/>
      <c r="F224" s="100">
        <f>VLOOKUP(A224,'OPEB Amounts_Report'!$A$10:$A$324,1,FALSE)</f>
        <v>26081</v>
      </c>
      <c r="G224" s="146"/>
      <c r="H224" s="25"/>
    </row>
    <row r="225" spans="1:8">
      <c r="A225" s="143">
        <v>29305</v>
      </c>
      <c r="B225" s="149" t="s">
        <v>214</v>
      </c>
      <c r="C225" s="55">
        <v>15862</v>
      </c>
      <c r="D225" s="57">
        <v>1.5614454988680554E-4</v>
      </c>
      <c r="E225" s="145"/>
      <c r="F225" s="100">
        <f>VLOOKUP(A225,'OPEB Amounts_Report'!$A$10:$A$324,1,FALSE)</f>
        <v>29305</v>
      </c>
      <c r="G225" s="146"/>
      <c r="H225" s="25"/>
    </row>
    <row r="226" spans="1:8">
      <c r="A226" s="147">
        <v>10032</v>
      </c>
      <c r="B226" s="148" t="s">
        <v>215</v>
      </c>
      <c r="C226" s="54">
        <v>24811</v>
      </c>
      <c r="D226" s="56">
        <v>2.4423795405633162E-4</v>
      </c>
      <c r="E226" s="145"/>
      <c r="F226" s="100">
        <f>VLOOKUP(A226,'OPEB Amounts_Report'!$A$10:$A$324,1,FALSE)</f>
        <v>10032</v>
      </c>
      <c r="G226" s="146"/>
      <c r="H226" s="25"/>
    </row>
    <row r="227" spans="1:8">
      <c r="A227" s="143">
        <v>32107</v>
      </c>
      <c r="B227" s="149" t="s">
        <v>216</v>
      </c>
      <c r="C227" s="55">
        <v>30394</v>
      </c>
      <c r="D227" s="57">
        <v>2.9919666178663266E-4</v>
      </c>
      <c r="E227" s="145"/>
      <c r="F227" s="100">
        <f>VLOOKUP(A227,'OPEB Amounts_Report'!$A$10:$A$324,1,FALSE)</f>
        <v>32107</v>
      </c>
      <c r="G227" s="146"/>
      <c r="H227" s="25"/>
    </row>
    <row r="228" spans="1:8">
      <c r="A228" s="147">
        <v>3260</v>
      </c>
      <c r="B228" s="148" t="s">
        <v>217</v>
      </c>
      <c r="C228" s="54">
        <v>572045</v>
      </c>
      <c r="D228" s="56">
        <v>5.6311757054594421E-3</v>
      </c>
      <c r="E228" s="145"/>
      <c r="F228" s="100">
        <f>VLOOKUP(A228,'OPEB Amounts_Report'!$A$10:$A$324,1,FALSE)</f>
        <v>3260</v>
      </c>
      <c r="G228" s="146"/>
      <c r="H228" s="25"/>
    </row>
    <row r="229" spans="1:8">
      <c r="A229" s="143">
        <v>4390</v>
      </c>
      <c r="B229" s="149" t="s">
        <v>218</v>
      </c>
      <c r="C229" s="55">
        <v>5994</v>
      </c>
      <c r="D229" s="57">
        <v>5.9004566386427463E-5</v>
      </c>
      <c r="E229" s="145"/>
      <c r="F229" s="100">
        <f>VLOOKUP(A229,'OPEB Amounts_Report'!$A$10:$A$324,1,FALSE)</f>
        <v>4390</v>
      </c>
      <c r="G229" s="146"/>
      <c r="H229" s="25"/>
    </row>
    <row r="230" spans="1:8">
      <c r="A230" s="147">
        <v>3270</v>
      </c>
      <c r="B230" s="148" t="s">
        <v>219</v>
      </c>
      <c r="C230" s="54">
        <v>83704</v>
      </c>
      <c r="D230" s="56">
        <v>8.2397701448273678E-4</v>
      </c>
      <c r="E230" s="145"/>
      <c r="F230" s="100">
        <f>VLOOKUP(A230,'OPEB Amounts_Report'!$A$10:$A$324,1,FALSE)</f>
        <v>3270</v>
      </c>
      <c r="G230" s="146"/>
      <c r="H230" s="25"/>
    </row>
    <row r="231" spans="1:8">
      <c r="A231" s="143">
        <v>29303</v>
      </c>
      <c r="B231" s="149" t="s">
        <v>220</v>
      </c>
      <c r="C231" s="55">
        <v>26264</v>
      </c>
      <c r="D231" s="57">
        <v>2.5854119645864714E-4</v>
      </c>
      <c r="E231" s="145"/>
      <c r="F231" s="100">
        <f>VLOOKUP(A231,'OPEB Amounts_Report'!$A$10:$A$324,1,FALSE)</f>
        <v>29303</v>
      </c>
      <c r="G231" s="146"/>
      <c r="H231" s="25"/>
    </row>
    <row r="232" spans="1:8">
      <c r="A232" s="147">
        <v>3280</v>
      </c>
      <c r="B232" s="148" t="s">
        <v>441</v>
      </c>
      <c r="C232" s="54">
        <v>423053</v>
      </c>
      <c r="D232" s="56">
        <v>4.1645076448911071E-3</v>
      </c>
      <c r="E232" s="145"/>
      <c r="F232" s="100">
        <f>VLOOKUP(A232,'OPEB Amounts_Report'!$A$10:$A$324,1,FALSE)</f>
        <v>3280</v>
      </c>
      <c r="G232" s="146"/>
      <c r="H232" s="25"/>
    </row>
    <row r="233" spans="1:8">
      <c r="A233" s="143">
        <v>4260</v>
      </c>
      <c r="B233" s="149" t="s">
        <v>222</v>
      </c>
      <c r="C233" s="55">
        <v>36041</v>
      </c>
      <c r="D233" s="57">
        <v>3.5478538157044249E-4</v>
      </c>
      <c r="E233" s="145"/>
      <c r="F233" s="100">
        <f>VLOOKUP(A233,'OPEB Amounts_Report'!$A$10:$A$324,1,FALSE)</f>
        <v>4260</v>
      </c>
      <c r="G233" s="146"/>
      <c r="H233" s="25"/>
    </row>
    <row r="234" spans="1:8">
      <c r="A234" s="147">
        <v>1003</v>
      </c>
      <c r="B234" s="148" t="s">
        <v>223</v>
      </c>
      <c r="C234" s="54">
        <v>430214</v>
      </c>
      <c r="D234" s="56">
        <v>4.2350000873157328E-3</v>
      </c>
      <c r="E234" s="145"/>
      <c r="F234" s="100">
        <f>VLOOKUP(A234,'OPEB Amounts_Report'!$A$10:$A$324,1,FALSE)</f>
        <v>1003</v>
      </c>
      <c r="G234" s="146"/>
      <c r="H234" s="25"/>
    </row>
    <row r="235" spans="1:8">
      <c r="A235" s="143">
        <v>3290</v>
      </c>
      <c r="B235" s="149" t="s">
        <v>224</v>
      </c>
      <c r="C235" s="55">
        <v>892150</v>
      </c>
      <c r="D235" s="57">
        <v>8.7822695865284045E-3</v>
      </c>
      <c r="E235" s="145"/>
      <c r="F235" s="100">
        <f>VLOOKUP(A235,'OPEB Amounts_Report'!$A$10:$A$324,1,FALSE)</f>
        <v>3290</v>
      </c>
      <c r="G235" s="146"/>
      <c r="H235" s="25"/>
    </row>
    <row r="236" spans="1:8">
      <c r="A236" s="147">
        <v>1002</v>
      </c>
      <c r="B236" s="148" t="s">
        <v>225</v>
      </c>
      <c r="C236" s="54">
        <v>1744245</v>
      </c>
      <c r="D236" s="56">
        <v>1.7170240223005367E-2</v>
      </c>
      <c r="E236" s="145"/>
      <c r="F236" s="100">
        <f>VLOOKUP(A236,'OPEB Amounts_Report'!$A$10:$A$324,1,FALSE)</f>
        <v>1002</v>
      </c>
      <c r="G236" s="146"/>
      <c r="H236" s="25"/>
    </row>
    <row r="237" spans="1:8">
      <c r="A237" s="143">
        <v>4270</v>
      </c>
      <c r="B237" s="149" t="s">
        <v>442</v>
      </c>
      <c r="C237" s="55">
        <v>37767</v>
      </c>
      <c r="D237" s="57">
        <v>3.7177601913850614E-4</v>
      </c>
      <c r="E237" s="145"/>
      <c r="F237" s="100">
        <f>VLOOKUP(A237,'OPEB Amounts_Report'!$A$10:$A$324,1,FALSE)</f>
        <v>4270</v>
      </c>
      <c r="G237" s="146"/>
      <c r="H237" s="25"/>
    </row>
    <row r="238" spans="1:8">
      <c r="A238" s="147">
        <v>24072</v>
      </c>
      <c r="B238" s="148" t="s">
        <v>226</v>
      </c>
      <c r="C238" s="54">
        <v>134761</v>
      </c>
      <c r="D238" s="56">
        <v>1.3265789741076662E-3</v>
      </c>
      <c r="E238" s="145"/>
      <c r="F238" s="100">
        <f>VLOOKUP(A238,'OPEB Amounts_Report'!$A$10:$A$324,1,FALSE)</f>
        <v>24072</v>
      </c>
      <c r="G238" s="146"/>
      <c r="H238" s="25"/>
    </row>
    <row r="239" spans="1:8">
      <c r="A239" s="143">
        <v>14366</v>
      </c>
      <c r="B239" s="149" t="s">
        <v>227</v>
      </c>
      <c r="C239" s="55">
        <v>71270</v>
      </c>
      <c r="D239" s="57">
        <v>7.0157748521199287E-4</v>
      </c>
      <c r="E239" s="145"/>
      <c r="F239" s="100">
        <f>VLOOKUP(A239,'OPEB Amounts_Report'!$A$10:$A$324,1,FALSE)</f>
        <v>14366</v>
      </c>
      <c r="G239" s="146"/>
      <c r="H239" s="25"/>
    </row>
    <row r="240" spans="1:8">
      <c r="A240" s="147">
        <v>4317</v>
      </c>
      <c r="B240" s="148" t="s">
        <v>228</v>
      </c>
      <c r="C240" s="54">
        <v>23583</v>
      </c>
      <c r="D240" s="56">
        <v>2.3214959777963278E-4</v>
      </c>
      <c r="E240" s="145"/>
      <c r="F240" s="100">
        <f>VLOOKUP(A240,'OPEB Amounts_Report'!$A$10:$A$324,1,FALSE)</f>
        <v>4317</v>
      </c>
      <c r="G240" s="146"/>
      <c r="H240" s="25"/>
    </row>
    <row r="241" spans="1:8">
      <c r="A241" s="143">
        <v>32120</v>
      </c>
      <c r="B241" s="149" t="s">
        <v>229</v>
      </c>
      <c r="C241" s="55">
        <v>29130</v>
      </c>
      <c r="D241" s="57">
        <v>2.8675392372983513E-4</v>
      </c>
      <c r="E241" s="145"/>
      <c r="F241" s="100">
        <f>VLOOKUP(A241,'OPEB Amounts_Report'!$A$10:$A$324,1,FALSE)</f>
        <v>32120</v>
      </c>
      <c r="G241" s="146"/>
      <c r="H241" s="25"/>
    </row>
    <row r="242" spans="1:8">
      <c r="A242" s="147">
        <v>3300</v>
      </c>
      <c r="B242" s="148" t="s">
        <v>443</v>
      </c>
      <c r="C242" s="54">
        <v>63188</v>
      </c>
      <c r="D242" s="56">
        <v>6.2201877557984287E-4</v>
      </c>
      <c r="E242" s="145"/>
      <c r="F242" s="100">
        <f>VLOOKUP(A242,'OPEB Amounts_Report'!$A$10:$A$324,1,FALSE)</f>
        <v>3300</v>
      </c>
      <c r="G242" s="146"/>
      <c r="H242" s="25"/>
    </row>
    <row r="243" spans="1:8">
      <c r="A243" s="143">
        <v>8026</v>
      </c>
      <c r="B243" s="149" t="s">
        <v>231</v>
      </c>
      <c r="C243" s="55">
        <v>346055</v>
      </c>
      <c r="D243" s="57">
        <v>3.4065440808900825E-3</v>
      </c>
      <c r="E243" s="145"/>
      <c r="F243" s="100">
        <f>VLOOKUP(A243,'OPEB Amounts_Report'!$A$10:$A$324,1,FALSE)</f>
        <v>8026</v>
      </c>
      <c r="G243" s="146"/>
      <c r="H243" s="25"/>
    </row>
    <row r="244" spans="1:8">
      <c r="A244" s="147">
        <v>32119</v>
      </c>
      <c r="B244" s="148" t="s">
        <v>232</v>
      </c>
      <c r="C244" s="54">
        <v>12616</v>
      </c>
      <c r="D244" s="56">
        <v>1.2419112604790939E-4</v>
      </c>
      <c r="E244" s="145"/>
      <c r="F244" s="100">
        <f>VLOOKUP(A244,'OPEB Amounts_Report'!$A$10:$A$324,1,FALSE)</f>
        <v>32119</v>
      </c>
      <c r="G244" s="146"/>
      <c r="H244" s="25"/>
    </row>
    <row r="245" spans="1:8">
      <c r="A245" s="143">
        <v>25076</v>
      </c>
      <c r="B245" s="149" t="s">
        <v>233</v>
      </c>
      <c r="C245" s="55">
        <v>204336</v>
      </c>
      <c r="D245" s="57">
        <v>2.0114709838400138E-3</v>
      </c>
      <c r="E245" s="145"/>
      <c r="F245" s="100">
        <f>VLOOKUP(A245,'OPEB Amounts_Report'!$A$10:$A$324,1,FALSE)</f>
        <v>25076</v>
      </c>
      <c r="G245" s="146"/>
      <c r="H245" s="25"/>
    </row>
    <row r="246" spans="1:8">
      <c r="A246" s="147">
        <v>2440</v>
      </c>
      <c r="B246" s="148" t="s">
        <v>413</v>
      </c>
      <c r="C246" s="54">
        <v>29177</v>
      </c>
      <c r="D246" s="56">
        <v>2.8721658883163061E-4</v>
      </c>
      <c r="E246" s="145"/>
      <c r="F246" s="100">
        <f>VLOOKUP(A246,'OPEB Amounts_Report'!$A$10:$A$324,1,FALSE)</f>
        <v>2440</v>
      </c>
      <c r="G246" s="146"/>
      <c r="H246" s="25"/>
    </row>
    <row r="247" spans="1:8">
      <c r="A247" s="143">
        <v>2309</v>
      </c>
      <c r="B247" s="149" t="s">
        <v>234</v>
      </c>
      <c r="C247" s="55">
        <v>86383</v>
      </c>
      <c r="D247" s="57">
        <v>8.5034892528507893E-4</v>
      </c>
      <c r="E247" s="145"/>
      <c r="F247" s="100">
        <f>VLOOKUP(A247,'OPEB Amounts_Report'!$A$10:$A$324,1,FALSE)</f>
        <v>2309</v>
      </c>
      <c r="G247" s="146"/>
      <c r="H247" s="25"/>
    </row>
    <row r="248" spans="1:8">
      <c r="A248" s="147">
        <v>2396</v>
      </c>
      <c r="B248" s="148" t="s">
        <v>235</v>
      </c>
      <c r="C248" s="54">
        <v>26007</v>
      </c>
      <c r="D248" s="56">
        <v>2.5601130430627609E-4</v>
      </c>
      <c r="E248" s="145"/>
      <c r="F248" s="100">
        <f>VLOOKUP(A248,'OPEB Amounts_Report'!$A$10:$A$324,1,FALSE)</f>
        <v>2396</v>
      </c>
      <c r="G248" s="146"/>
      <c r="H248" s="25"/>
    </row>
    <row r="249" spans="1:8">
      <c r="A249" s="143">
        <v>3380</v>
      </c>
      <c r="B249" s="144" t="s">
        <v>236</v>
      </c>
      <c r="C249" s="107">
        <v>18390</v>
      </c>
      <c r="D249" s="66">
        <v>1.8103002600040056E-4</v>
      </c>
      <c r="E249" s="145"/>
      <c r="F249" s="100">
        <f>VLOOKUP(A249,'OPEB Amounts_Report'!$A$10:$A$324,1,FALSE)</f>
        <v>3380</v>
      </c>
      <c r="G249" s="146"/>
      <c r="H249" s="25"/>
    </row>
    <row r="250" spans="1:8">
      <c r="A250" s="147">
        <v>2420</v>
      </c>
      <c r="B250" s="148" t="s">
        <v>237</v>
      </c>
      <c r="C250" s="54">
        <v>24072</v>
      </c>
      <c r="D250" s="56">
        <v>2.3696328362597294E-4</v>
      </c>
      <c r="E250" s="145"/>
      <c r="F250" s="100">
        <f>VLOOKUP(A250,'OPEB Amounts_Report'!$A$10:$A$324,1,FALSE)</f>
        <v>2420</v>
      </c>
      <c r="G250" s="146"/>
      <c r="H250" s="25"/>
    </row>
    <row r="251" spans="1:8">
      <c r="A251" s="143">
        <v>2740</v>
      </c>
      <c r="B251" s="149" t="s">
        <v>238</v>
      </c>
      <c r="C251" s="55">
        <v>5244</v>
      </c>
      <c r="D251" s="57">
        <v>5.162161263437197E-5</v>
      </c>
      <c r="E251" s="145"/>
      <c r="F251" s="100">
        <f>VLOOKUP(A251,'OPEB Amounts_Report'!$A$10:$A$324,1,FALSE)</f>
        <v>2740</v>
      </c>
      <c r="G251" s="146"/>
      <c r="H251" s="25"/>
    </row>
    <row r="252" spans="1:8">
      <c r="A252" s="147">
        <v>2346</v>
      </c>
      <c r="B252" s="148" t="s">
        <v>239</v>
      </c>
      <c r="C252" s="54">
        <v>21505</v>
      </c>
      <c r="D252" s="56">
        <v>2.1169389391727104E-4</v>
      </c>
      <c r="E252" s="145"/>
      <c r="F252" s="100">
        <f>VLOOKUP(A252,'OPEB Amounts_Report'!$A$10:$A$324,1,FALSE)</f>
        <v>2346</v>
      </c>
      <c r="G252" s="146"/>
      <c r="H252" s="25"/>
    </row>
    <row r="253" spans="1:8">
      <c r="A253" s="143">
        <v>21150</v>
      </c>
      <c r="B253" s="149" t="s">
        <v>240</v>
      </c>
      <c r="C253" s="55">
        <v>49926</v>
      </c>
      <c r="D253" s="57">
        <v>4.9146846536682971E-4</v>
      </c>
      <c r="E253" s="145"/>
      <c r="F253" s="100">
        <f>VLOOKUP(A253,'OPEB Amounts_Report'!$A$10:$A$324,1,FALSE)</f>
        <v>21150</v>
      </c>
      <c r="G253" s="146"/>
      <c r="H253" s="25"/>
    </row>
    <row r="254" spans="1:8">
      <c r="A254" s="147">
        <v>32098</v>
      </c>
      <c r="B254" s="148" t="s">
        <v>241</v>
      </c>
      <c r="C254" s="54">
        <v>21534</v>
      </c>
      <c r="D254" s="56">
        <v>2.1197936812901718E-4</v>
      </c>
      <c r="E254" s="145"/>
      <c r="F254" s="100">
        <f>VLOOKUP(A254,'OPEB Amounts_Report'!$A$10:$A$324,1,FALSE)</f>
        <v>32098</v>
      </c>
      <c r="G254" s="146"/>
      <c r="H254" s="25"/>
    </row>
    <row r="255" spans="1:8">
      <c r="A255" s="143">
        <v>4520</v>
      </c>
      <c r="B255" s="149" t="s">
        <v>242</v>
      </c>
      <c r="C255" s="55">
        <v>3182</v>
      </c>
      <c r="D255" s="57">
        <v>3.1323411785387416E-5</v>
      </c>
      <c r="E255" s="145"/>
      <c r="F255" s="100">
        <f>VLOOKUP(A255,'OPEB Amounts_Report'!$A$10:$A$324,1,FALSE)</f>
        <v>4520</v>
      </c>
      <c r="G255" s="146"/>
      <c r="H255" s="25"/>
    </row>
    <row r="256" spans="1:8">
      <c r="A256" s="147">
        <v>9030</v>
      </c>
      <c r="B256" s="148" t="s">
        <v>243</v>
      </c>
      <c r="C256" s="54">
        <v>29813</v>
      </c>
      <c r="D256" s="56">
        <v>2.9347733361337368E-4</v>
      </c>
      <c r="E256" s="145"/>
      <c r="F256" s="100">
        <f>VLOOKUP(A256,'OPEB Amounts_Report'!$A$10:$A$324,1,FALSE)</f>
        <v>9030</v>
      </c>
      <c r="G256" s="146"/>
      <c r="H256" s="25"/>
    </row>
    <row r="257" spans="1:8">
      <c r="A257" s="143">
        <v>20265</v>
      </c>
      <c r="B257" s="149" t="s">
        <v>244</v>
      </c>
      <c r="C257" s="108">
        <v>34446</v>
      </c>
      <c r="D257" s="57">
        <v>3.3908429992440445E-4</v>
      </c>
      <c r="E257" s="145"/>
      <c r="F257" s="100">
        <f>VLOOKUP(A257,'OPEB Amounts_Report'!$A$10:$A$324,1,FALSE)</f>
        <v>20265</v>
      </c>
      <c r="G257" s="146"/>
      <c r="H257" s="25"/>
    </row>
    <row r="258" spans="1:8">
      <c r="A258" s="147">
        <v>20307</v>
      </c>
      <c r="B258" s="148" t="s">
        <v>245</v>
      </c>
      <c r="C258" s="54">
        <v>31276</v>
      </c>
      <c r="D258" s="56">
        <v>3.0787901539904993E-4</v>
      </c>
      <c r="E258" s="145"/>
      <c r="F258" s="100">
        <f>VLOOKUP(A258,'OPEB Amounts_Report'!$A$10:$A$324,1,FALSE)</f>
        <v>20307</v>
      </c>
      <c r="G258" s="146"/>
      <c r="H258" s="25"/>
    </row>
    <row r="259" spans="1:8">
      <c r="A259" s="143">
        <v>3320</v>
      </c>
      <c r="B259" s="149" t="s">
        <v>246</v>
      </c>
      <c r="C259" s="55">
        <v>192393</v>
      </c>
      <c r="D259" s="57">
        <v>1.8939048282922821E-3</v>
      </c>
      <c r="E259" s="145"/>
      <c r="F259" s="100">
        <f>VLOOKUP(A259,'OPEB Amounts_Report'!$A$10:$A$324,1,FALSE)</f>
        <v>3320</v>
      </c>
      <c r="G259" s="146"/>
      <c r="H259" s="25"/>
    </row>
    <row r="260" spans="1:8">
      <c r="A260" s="147">
        <v>20415</v>
      </c>
      <c r="B260" s="148" t="s">
        <v>247</v>
      </c>
      <c r="C260" s="54">
        <v>23323</v>
      </c>
      <c r="D260" s="56">
        <v>2.2959017381225355E-4</v>
      </c>
      <c r="E260" s="145"/>
      <c r="F260" s="100">
        <f>VLOOKUP(A260,'OPEB Amounts_Report'!$A$10:$A$324,1,FALSE)</f>
        <v>20415</v>
      </c>
      <c r="G260" s="146"/>
      <c r="H260" s="25"/>
    </row>
    <row r="261" spans="1:8">
      <c r="A261" s="143">
        <v>20435</v>
      </c>
      <c r="B261" s="149" t="s">
        <v>435</v>
      </c>
      <c r="C261" s="55">
        <v>29248</v>
      </c>
      <c r="D261" s="57">
        <v>2.879155084534919E-4</v>
      </c>
      <c r="E261" s="145"/>
      <c r="F261" s="100">
        <f>VLOOKUP(A261,'OPEB Amounts_Report'!$A$10:$A$324,1,FALSE)</f>
        <v>20435</v>
      </c>
      <c r="G261" s="146"/>
      <c r="H261" s="25"/>
    </row>
    <row r="262" spans="1:8">
      <c r="A262" s="147">
        <v>20062</v>
      </c>
      <c r="B262" s="148" t="s">
        <v>248</v>
      </c>
      <c r="C262" s="54">
        <v>299011</v>
      </c>
      <c r="D262" s="56">
        <v>2.9434458458078181E-3</v>
      </c>
      <c r="E262" s="145"/>
      <c r="F262" s="100">
        <f>VLOOKUP(A262,'OPEB Amounts_Report'!$A$10:$A$324,1,FALSE)</f>
        <v>20062</v>
      </c>
      <c r="G262" s="146"/>
      <c r="H262" s="25"/>
    </row>
    <row r="263" spans="1:8">
      <c r="A263" s="143">
        <v>6020</v>
      </c>
      <c r="B263" s="149" t="s">
        <v>249</v>
      </c>
      <c r="C263" s="55">
        <v>58214</v>
      </c>
      <c r="D263" s="57">
        <v>5.7305502629621092E-4</v>
      </c>
      <c r="E263" s="145"/>
      <c r="F263" s="100">
        <f>VLOOKUP(A263,'OPEB Amounts_Report'!$A$10:$A$324,1,FALSE)</f>
        <v>6020</v>
      </c>
      <c r="G263" s="146"/>
      <c r="H263" s="25"/>
    </row>
    <row r="264" spans="1:8">
      <c r="A264" s="147">
        <v>2394</v>
      </c>
      <c r="B264" s="148" t="s">
        <v>250</v>
      </c>
      <c r="C264" s="54">
        <v>34757</v>
      </c>
      <c r="D264" s="56">
        <v>3.4214576474692347E-4</v>
      </c>
      <c r="E264" s="145"/>
      <c r="F264" s="100">
        <f>VLOOKUP(A264,'OPEB Amounts_Report'!$A$10:$A$324,1,FALSE)</f>
        <v>2394</v>
      </c>
      <c r="G264" s="146"/>
      <c r="H264" s="25"/>
    </row>
    <row r="265" spans="1:8">
      <c r="A265" s="143">
        <v>5015</v>
      </c>
      <c r="B265" s="149" t="s">
        <v>251</v>
      </c>
      <c r="C265" s="55">
        <v>84093</v>
      </c>
      <c r="D265" s="57">
        <v>8.2780630649546957E-4</v>
      </c>
      <c r="E265" s="145"/>
      <c r="F265" s="100">
        <f>VLOOKUP(A265,'OPEB Amounts_Report'!$A$10:$A$324,1,FALSE)</f>
        <v>5015</v>
      </c>
      <c r="G265" s="146"/>
      <c r="H265" s="25"/>
    </row>
    <row r="266" spans="1:8">
      <c r="A266" s="147">
        <v>29408</v>
      </c>
      <c r="B266" s="148" t="s">
        <v>252</v>
      </c>
      <c r="C266" s="54">
        <v>54453</v>
      </c>
      <c r="D266" s="56">
        <v>5.360319742142367E-4</v>
      </c>
      <c r="E266" s="145"/>
      <c r="F266" s="100">
        <f>VLOOKUP(A266,'OPEB Amounts_Report'!$A$10:$A$324,1,FALSE)</f>
        <v>29408</v>
      </c>
      <c r="G266" s="146"/>
      <c r="H266" s="25"/>
    </row>
    <row r="267" spans="1:8">
      <c r="A267" s="143">
        <v>2413</v>
      </c>
      <c r="B267" s="149" t="s">
        <v>253</v>
      </c>
      <c r="C267" s="55">
        <v>11800</v>
      </c>
      <c r="D267" s="57">
        <v>1.1615847236567302E-4</v>
      </c>
      <c r="E267" s="145"/>
      <c r="F267" s="100">
        <f>VLOOKUP(A267,'OPEB Amounts_Report'!$A$10:$A$324,1,FALSE)</f>
        <v>2413</v>
      </c>
      <c r="G267" s="146"/>
      <c r="H267" s="25"/>
    </row>
    <row r="268" spans="1:8">
      <c r="A268" s="147">
        <v>1398</v>
      </c>
      <c r="B268" s="148" t="s">
        <v>254</v>
      </c>
      <c r="C268" s="54">
        <v>22019</v>
      </c>
      <c r="D268" s="56">
        <v>2.1675367822201306E-4</v>
      </c>
      <c r="E268" s="145"/>
      <c r="F268" s="100">
        <f>VLOOKUP(A268,'OPEB Amounts_Report'!$A$10:$A$324,1,FALSE)</f>
        <v>1398</v>
      </c>
      <c r="G268" s="146"/>
      <c r="H268" s="25"/>
    </row>
    <row r="269" spans="1:8">
      <c r="A269" s="143">
        <v>2366</v>
      </c>
      <c r="B269" s="149" t="s">
        <v>255</v>
      </c>
      <c r="C269" s="55">
        <v>23732</v>
      </c>
      <c r="D269" s="57">
        <v>2.3361634459170778E-4</v>
      </c>
      <c r="E269" s="145"/>
      <c r="F269" s="100">
        <f>VLOOKUP(A269,'OPEB Amounts_Report'!$A$10:$A$324,1,FALSE)</f>
        <v>2366</v>
      </c>
      <c r="G269" s="146"/>
      <c r="H269" s="25"/>
    </row>
    <row r="270" spans="1:8">
      <c r="A270" s="147">
        <v>7421</v>
      </c>
      <c r="B270" s="148" t="s">
        <v>256</v>
      </c>
      <c r="C270" s="54">
        <v>23891</v>
      </c>
      <c r="D270" s="56">
        <v>2.3518153078714356E-4</v>
      </c>
      <c r="E270" s="145"/>
      <c r="F270" s="100">
        <f>VLOOKUP(A270,'OPEB Amounts_Report'!$A$10:$A$324,1,FALSE)</f>
        <v>7421</v>
      </c>
      <c r="G270" s="146"/>
      <c r="H270" s="25"/>
    </row>
    <row r="271" spans="1:8">
      <c r="A271" s="143">
        <v>1425</v>
      </c>
      <c r="B271" s="149" t="s">
        <v>534</v>
      </c>
      <c r="C271" s="55">
        <v>1215</v>
      </c>
      <c r="D271" s="57">
        <v>1.1960385078329891E-5</v>
      </c>
      <c r="E271" s="145"/>
      <c r="F271" s="100">
        <f>VLOOKUP(A271,'OPEB Amounts_Report'!$A$10:$A$324,1,FALSE)</f>
        <v>1425</v>
      </c>
      <c r="G271" s="146"/>
      <c r="H271" s="25"/>
    </row>
    <row r="272" spans="1:8">
      <c r="A272" s="147">
        <v>2370</v>
      </c>
      <c r="B272" s="148" t="s">
        <v>257</v>
      </c>
      <c r="C272" s="54">
        <v>36104</v>
      </c>
      <c r="D272" s="56">
        <v>3.554055496856151E-4</v>
      </c>
      <c r="E272" s="145"/>
      <c r="F272" s="100">
        <f>VLOOKUP(A272,'OPEB Amounts_Report'!$A$10:$A$324,1,FALSE)</f>
        <v>2370</v>
      </c>
      <c r="G272" s="146"/>
      <c r="H272" s="25"/>
    </row>
    <row r="273" spans="1:8">
      <c r="A273" s="143">
        <v>32094</v>
      </c>
      <c r="B273" s="149" t="s">
        <v>258</v>
      </c>
      <c r="C273" s="55">
        <v>42636</v>
      </c>
      <c r="D273" s="57">
        <v>4.1970615489685039E-4</v>
      </c>
      <c r="E273" s="145"/>
      <c r="F273" s="100">
        <f>VLOOKUP(A273,'OPEB Amounts_Report'!$A$10:$A$324,1,FALSE)</f>
        <v>32094</v>
      </c>
      <c r="G273" s="146"/>
      <c r="H273" s="25"/>
    </row>
    <row r="274" spans="1:8">
      <c r="A274" s="147">
        <v>2790</v>
      </c>
      <c r="B274" s="148" t="s">
        <v>259</v>
      </c>
      <c r="C274" s="54">
        <v>4545</v>
      </c>
      <c r="D274" s="56">
        <v>4.474069973745626E-5</v>
      </c>
      <c r="E274" s="145"/>
      <c r="F274" s="100">
        <f>VLOOKUP(A274,'OPEB Amounts_Report'!$A$10:$A$324,1,FALSE)</f>
        <v>2790</v>
      </c>
      <c r="G274" s="146"/>
      <c r="H274" s="25"/>
    </row>
    <row r="275" spans="1:8">
      <c r="A275" s="143">
        <v>3330</v>
      </c>
      <c r="B275" s="149" t="s">
        <v>260</v>
      </c>
      <c r="C275" s="55">
        <v>93973</v>
      </c>
      <c r="D275" s="57">
        <v>9.2506441725588053E-4</v>
      </c>
      <c r="E275" s="145"/>
      <c r="F275" s="100">
        <f>VLOOKUP(A275,'OPEB Amounts_Report'!$A$10:$A$324,1,FALSE)</f>
        <v>3330</v>
      </c>
      <c r="G275" s="146"/>
      <c r="H275" s="25"/>
    </row>
    <row r="276" spans="1:8">
      <c r="A276" s="147">
        <v>2080</v>
      </c>
      <c r="B276" s="148" t="s">
        <v>261</v>
      </c>
      <c r="C276" s="54">
        <v>104310</v>
      </c>
      <c r="D276" s="56">
        <v>1.0268212078358772E-3</v>
      </c>
      <c r="E276" s="145"/>
      <c r="F276" s="100">
        <f>VLOOKUP(A276,'OPEB Amounts_Report'!$A$10:$A$324,1,FALSE)</f>
        <v>2080</v>
      </c>
      <c r="G276" s="146"/>
      <c r="H276" s="25"/>
    </row>
    <row r="277" spans="1:8">
      <c r="A277" s="143">
        <v>4290</v>
      </c>
      <c r="B277" s="149" t="s">
        <v>262</v>
      </c>
      <c r="C277" s="55">
        <v>34749</v>
      </c>
      <c r="D277" s="57">
        <v>3.4206701324023485E-4</v>
      </c>
      <c r="E277" s="145"/>
      <c r="F277" s="100">
        <f>VLOOKUP(A277,'OPEB Amounts_Report'!$A$10:$A$324,1,FALSE)</f>
        <v>4290</v>
      </c>
      <c r="G277" s="146"/>
      <c r="H277" s="25"/>
    </row>
    <row r="278" spans="1:8">
      <c r="A278" s="147">
        <v>2270</v>
      </c>
      <c r="B278" s="148" t="s">
        <v>263</v>
      </c>
      <c r="C278" s="54">
        <v>1706</v>
      </c>
      <c r="D278" s="56">
        <v>1.6793758801342218E-5</v>
      </c>
      <c r="E278" s="145"/>
      <c r="F278" s="100">
        <f>VLOOKUP(A278,'OPEB Amounts_Report'!$A$10:$A$324,1,FALSE)</f>
        <v>2270</v>
      </c>
      <c r="G278" s="146"/>
      <c r="H278" s="25"/>
    </row>
    <row r="279" spans="1:8">
      <c r="A279" s="143">
        <v>2300</v>
      </c>
      <c r="B279" s="149" t="s">
        <v>264</v>
      </c>
      <c r="C279" s="55">
        <v>10000</v>
      </c>
      <c r="D279" s="57">
        <v>9.8439383360739838E-5</v>
      </c>
      <c r="E279" s="145"/>
      <c r="F279" s="100">
        <f>VLOOKUP(A279,'OPEB Amounts_Report'!$A$10:$A$324,1,FALSE)</f>
        <v>2300</v>
      </c>
      <c r="G279" s="146"/>
      <c r="H279" s="25"/>
    </row>
    <row r="280" spans="1:8">
      <c r="A280" s="147">
        <v>2720</v>
      </c>
      <c r="B280" s="148" t="s">
        <v>265</v>
      </c>
      <c r="C280" s="54">
        <v>138837</v>
      </c>
      <c r="D280" s="56">
        <v>1.3667028667655038E-3</v>
      </c>
      <c r="E280" s="145"/>
      <c r="F280" s="100">
        <f>VLOOKUP(A280,'OPEB Amounts_Report'!$A$10:$A$324,1,FALSE)</f>
        <v>2720</v>
      </c>
      <c r="G280" s="146"/>
      <c r="H280" s="25"/>
    </row>
    <row r="281" spans="1:8">
      <c r="A281" s="143">
        <v>2750</v>
      </c>
      <c r="B281" s="149" t="s">
        <v>266</v>
      </c>
      <c r="C281" s="55">
        <v>10408</v>
      </c>
      <c r="D281" s="57">
        <v>1.0245571020185802E-4</v>
      </c>
      <c r="E281" s="145"/>
      <c r="F281" s="100">
        <f>VLOOKUP(A281,'OPEB Amounts_Report'!$A$10:$A$324,1,FALSE)</f>
        <v>2750</v>
      </c>
      <c r="G281" s="146"/>
      <c r="H281" s="25"/>
    </row>
    <row r="282" spans="1:8">
      <c r="A282" s="147">
        <v>2770</v>
      </c>
      <c r="B282" s="148" t="s">
        <v>267</v>
      </c>
      <c r="C282" s="54">
        <v>117333</v>
      </c>
      <c r="D282" s="56">
        <v>1.1550188167865688E-3</v>
      </c>
      <c r="E282" s="145"/>
      <c r="F282" s="100">
        <f>VLOOKUP(A282,'OPEB Amounts_Report'!$A$10:$A$324,1,FALSE)</f>
        <v>2770</v>
      </c>
      <c r="G282" s="146"/>
      <c r="H282" s="25"/>
    </row>
    <row r="283" spans="1:8">
      <c r="A283" s="143">
        <v>32106</v>
      </c>
      <c r="B283" s="149" t="s">
        <v>268</v>
      </c>
      <c r="C283" s="55">
        <v>14622</v>
      </c>
      <c r="D283" s="57">
        <v>1.4393806635007379E-4</v>
      </c>
      <c r="E283" s="145"/>
      <c r="F283" s="100">
        <f>VLOOKUP(A283,'OPEB Amounts_Report'!$A$10:$A$324,1,FALSE)</f>
        <v>32106</v>
      </c>
      <c r="G283" s="146"/>
      <c r="H283" s="25"/>
    </row>
    <row r="284" spans="1:8">
      <c r="A284" s="147">
        <v>4180</v>
      </c>
      <c r="B284" s="148" t="s">
        <v>269</v>
      </c>
      <c r="C284" s="54">
        <v>14322</v>
      </c>
      <c r="D284" s="56">
        <v>1.409848848492516E-4</v>
      </c>
      <c r="E284" s="145"/>
      <c r="F284" s="100">
        <f>VLOOKUP(A284,'OPEB Amounts_Report'!$A$10:$A$324,1,FALSE)</f>
        <v>4180</v>
      </c>
      <c r="G284" s="146"/>
      <c r="H284" s="25"/>
    </row>
    <row r="285" spans="1:8">
      <c r="A285" s="143">
        <v>21063</v>
      </c>
      <c r="B285" s="149" t="s">
        <v>270</v>
      </c>
      <c r="C285" s="55">
        <v>191245</v>
      </c>
      <c r="D285" s="57">
        <v>1.8826039870824692E-3</v>
      </c>
      <c r="E285" s="145"/>
      <c r="F285" s="100">
        <f>VLOOKUP(A285,'OPEB Amounts_Report'!$A$10:$A$324,1,FALSE)</f>
        <v>21063</v>
      </c>
      <c r="G285" s="146"/>
      <c r="H285" s="25"/>
    </row>
    <row r="286" spans="1:8">
      <c r="A286" s="147">
        <v>10033</v>
      </c>
      <c r="B286" s="148" t="s">
        <v>271</v>
      </c>
      <c r="C286" s="54">
        <v>132320</v>
      </c>
      <c r="D286" s="56">
        <v>1.3025499206293096E-3</v>
      </c>
      <c r="E286" s="145"/>
      <c r="F286" s="100">
        <f>VLOOKUP(A286,'OPEB Amounts_Report'!$A$10:$A$324,1,FALSE)</f>
        <v>10033</v>
      </c>
      <c r="G286" s="146"/>
      <c r="H286" s="25"/>
    </row>
    <row r="287" spans="1:8">
      <c r="A287" s="143">
        <v>15049</v>
      </c>
      <c r="B287" s="149" t="s">
        <v>272</v>
      </c>
      <c r="C287" s="55">
        <v>138339</v>
      </c>
      <c r="D287" s="57">
        <v>1.3618005854741388E-3</v>
      </c>
      <c r="E287" s="145"/>
      <c r="F287" s="100">
        <f>VLOOKUP(A287,'OPEB Amounts_Report'!$A$10:$A$324,1,FALSE)</f>
        <v>15049</v>
      </c>
      <c r="G287" s="146"/>
      <c r="H287" s="25"/>
    </row>
    <row r="288" spans="1:8">
      <c r="A288" s="147">
        <v>1315</v>
      </c>
      <c r="B288" s="148" t="s">
        <v>273</v>
      </c>
      <c r="C288" s="54">
        <v>90386</v>
      </c>
      <c r="D288" s="56">
        <v>8.8975421044438314E-4</v>
      </c>
      <c r="E288" s="145"/>
      <c r="F288" s="100">
        <f>VLOOKUP(A288,'OPEB Amounts_Report'!$A$10:$A$324,1,FALSE)</f>
        <v>1315</v>
      </c>
      <c r="G288" s="146"/>
      <c r="H288" s="25"/>
    </row>
    <row r="289" spans="1:8">
      <c r="A289" s="143">
        <v>3340</v>
      </c>
      <c r="B289" s="149" t="s">
        <v>274</v>
      </c>
      <c r="C289" s="55">
        <v>35296</v>
      </c>
      <c r="D289" s="57">
        <v>3.4745164751006735E-4</v>
      </c>
      <c r="E289" s="145"/>
      <c r="F289" s="100">
        <f>VLOOKUP(A289,'OPEB Amounts_Report'!$A$10:$A$324,1,FALSE)</f>
        <v>3340</v>
      </c>
      <c r="G289" s="146"/>
      <c r="H289" s="25"/>
    </row>
    <row r="290" spans="1:8">
      <c r="A290" s="147">
        <v>3350</v>
      </c>
      <c r="B290" s="148" t="s">
        <v>275</v>
      </c>
      <c r="C290" s="54">
        <v>215951</v>
      </c>
      <c r="D290" s="56">
        <v>2.125808327613513E-3</v>
      </c>
      <c r="E290" s="145"/>
      <c r="F290" s="100">
        <f>VLOOKUP(A290,'OPEB Amounts_Report'!$A$10:$A$324,1,FALSE)</f>
        <v>3350</v>
      </c>
      <c r="G290" s="146"/>
      <c r="H290" s="25"/>
    </row>
    <row r="291" spans="1:8">
      <c r="A291" s="143">
        <v>24073</v>
      </c>
      <c r="B291" s="149" t="s">
        <v>276</v>
      </c>
      <c r="C291" s="55">
        <v>22292</v>
      </c>
      <c r="D291" s="57">
        <v>2.1944107338776124E-4</v>
      </c>
      <c r="E291" s="145"/>
      <c r="F291" s="100">
        <f>VLOOKUP(A291,'OPEB Amounts_Report'!$A$10:$A$324,1,FALSE)</f>
        <v>24073</v>
      </c>
      <c r="G291" s="146"/>
      <c r="H291" s="25"/>
    </row>
    <row r="292" spans="1:8">
      <c r="A292" s="147">
        <v>2100</v>
      </c>
      <c r="B292" s="148" t="s">
        <v>277</v>
      </c>
      <c r="C292" s="54">
        <v>29613</v>
      </c>
      <c r="D292" s="56">
        <v>2.9150854594615889E-4</v>
      </c>
      <c r="E292" s="145"/>
      <c r="F292" s="100">
        <f>VLOOKUP(A292,'OPEB Amounts_Report'!$A$10:$A$324,1,FALSE)</f>
        <v>2100</v>
      </c>
      <c r="G292" s="146"/>
      <c r="H292" s="25"/>
    </row>
    <row r="293" spans="1:8">
      <c r="A293" s="143">
        <v>2130</v>
      </c>
      <c r="B293" s="149" t="s">
        <v>278</v>
      </c>
      <c r="C293" s="55">
        <v>8959</v>
      </c>
      <c r="D293" s="57">
        <v>8.8191843552886827E-5</v>
      </c>
      <c r="E293" s="145"/>
      <c r="F293" s="100">
        <f>VLOOKUP(A293,'OPEB Amounts_Report'!$A$10:$A$324,1,FALSE)</f>
        <v>2130</v>
      </c>
      <c r="G293" s="146"/>
      <c r="H293" s="25"/>
    </row>
    <row r="294" spans="1:8">
      <c r="A294" s="147">
        <v>32099</v>
      </c>
      <c r="B294" s="148" t="s">
        <v>279</v>
      </c>
      <c r="C294" s="54">
        <v>10690</v>
      </c>
      <c r="D294" s="56">
        <v>1.0523170081263089E-4</v>
      </c>
      <c r="E294" s="145"/>
      <c r="F294" s="100">
        <f>VLOOKUP(A294,'OPEB Amounts_Report'!$A$10:$A$324,1,FALSE)</f>
        <v>32099</v>
      </c>
      <c r="G294" s="146"/>
      <c r="H294" s="25"/>
    </row>
    <row r="295" spans="1:8">
      <c r="A295" s="143">
        <v>32100</v>
      </c>
      <c r="B295" s="149" t="s">
        <v>280</v>
      </c>
      <c r="C295" s="55">
        <v>22672</v>
      </c>
      <c r="D295" s="57">
        <v>2.2318176995546937E-4</v>
      </c>
      <c r="E295" s="145"/>
      <c r="F295" s="100">
        <f>VLOOKUP(A295,'OPEB Amounts_Report'!$A$10:$A$324,1,FALSE)</f>
        <v>32100</v>
      </c>
      <c r="G295" s="146"/>
      <c r="H295" s="25"/>
    </row>
    <row r="296" spans="1:8">
      <c r="A296" s="147">
        <v>32101</v>
      </c>
      <c r="B296" s="148" t="s">
        <v>281</v>
      </c>
      <c r="C296" s="54">
        <v>6477</v>
      </c>
      <c r="D296" s="56">
        <v>6.3759188602751198E-5</v>
      </c>
      <c r="E296" s="145"/>
      <c r="F296" s="100">
        <f>VLOOKUP(A296,'OPEB Amounts_Report'!$A$10:$A$324,1,FALSE)</f>
        <v>32101</v>
      </c>
      <c r="G296" s="146"/>
      <c r="H296" s="25"/>
    </row>
    <row r="297" spans="1:8">
      <c r="A297" s="143">
        <v>32102</v>
      </c>
      <c r="B297" s="144" t="s">
        <v>282</v>
      </c>
      <c r="C297" s="107">
        <v>12151</v>
      </c>
      <c r="D297" s="66">
        <v>1.1961369472163498E-4</v>
      </c>
      <c r="E297" s="145"/>
      <c r="F297" s="100">
        <f>VLOOKUP(A297,'OPEB Amounts_Report'!$A$10:$A$324,1,FALSE)</f>
        <v>32102</v>
      </c>
      <c r="G297" s="146"/>
      <c r="H297" s="25"/>
    </row>
    <row r="298" spans="1:8">
      <c r="A298" s="147">
        <v>2880</v>
      </c>
      <c r="B298" s="148" t="s">
        <v>283</v>
      </c>
      <c r="C298" s="54">
        <v>3657</v>
      </c>
      <c r="D298" s="56">
        <v>3.5999282495022558E-5</v>
      </c>
      <c r="E298" s="145"/>
      <c r="F298" s="100">
        <f>VLOOKUP(A298,'OPEB Amounts_Report'!$A$10:$A$324,1,FALSE)</f>
        <v>2880</v>
      </c>
      <c r="G298" s="146"/>
      <c r="H298" s="25"/>
    </row>
    <row r="299" spans="1:8">
      <c r="A299" s="143">
        <v>2490</v>
      </c>
      <c r="B299" s="149" t="s">
        <v>284</v>
      </c>
      <c r="C299" s="55">
        <v>27030</v>
      </c>
      <c r="D299" s="57">
        <v>2.660816532240798E-4</v>
      </c>
      <c r="E299" s="145"/>
      <c r="F299" s="100">
        <f>VLOOKUP(A299,'OPEB Amounts_Report'!$A$10:$A$324,1,FALSE)</f>
        <v>2490</v>
      </c>
      <c r="G299" s="146"/>
      <c r="H299" s="25"/>
    </row>
    <row r="300" spans="1:8">
      <c r="A300" s="147">
        <v>2530</v>
      </c>
      <c r="B300" s="148" t="s">
        <v>285</v>
      </c>
      <c r="C300" s="54">
        <v>5944</v>
      </c>
      <c r="D300" s="56">
        <v>5.8512369469623764E-5</v>
      </c>
      <c r="E300" s="145"/>
      <c r="F300" s="100">
        <f>VLOOKUP(A300,'OPEB Amounts_Report'!$A$10:$A$324,1,FALSE)</f>
        <v>2530</v>
      </c>
      <c r="G300" s="146"/>
      <c r="H300" s="25"/>
    </row>
    <row r="301" spans="1:8">
      <c r="A301" s="143">
        <v>2560</v>
      </c>
      <c r="B301" s="149" t="s">
        <v>286</v>
      </c>
      <c r="C301" s="55">
        <v>9396</v>
      </c>
      <c r="D301" s="57">
        <v>9.2493644605751152E-5</v>
      </c>
      <c r="E301" s="145"/>
      <c r="F301" s="100">
        <f>VLOOKUP(A301,'OPEB Amounts_Report'!$A$10:$A$324,1,FALSE)</f>
        <v>2560</v>
      </c>
      <c r="G301" s="146"/>
      <c r="H301" s="25"/>
    </row>
    <row r="302" spans="1:8">
      <c r="A302" s="147">
        <v>2610</v>
      </c>
      <c r="B302" s="148" t="s">
        <v>287</v>
      </c>
      <c r="C302" s="54">
        <v>3003</v>
      </c>
      <c r="D302" s="56">
        <v>2.9561346823230173E-5</v>
      </c>
      <c r="E302" s="145"/>
      <c r="F302" s="100">
        <f>VLOOKUP(A302,'OPEB Amounts_Report'!$A$10:$A$324,1,FALSE)</f>
        <v>2610</v>
      </c>
      <c r="G302" s="146"/>
      <c r="H302" s="25"/>
    </row>
    <row r="303" spans="1:8">
      <c r="A303" s="143">
        <v>2800</v>
      </c>
      <c r="B303" s="149" t="s">
        <v>288</v>
      </c>
      <c r="C303" s="55">
        <v>9288</v>
      </c>
      <c r="D303" s="57">
        <v>9.1430499265455161E-5</v>
      </c>
      <c r="E303" s="145"/>
      <c r="F303" s="100">
        <f>VLOOKUP(A303,'OPEB Amounts_Report'!$A$10:$A$324,1,FALSE)</f>
        <v>2800</v>
      </c>
      <c r="G303" s="146"/>
      <c r="H303" s="25"/>
    </row>
    <row r="304" spans="1:8">
      <c r="A304" s="147">
        <v>20317</v>
      </c>
      <c r="B304" s="148" t="s">
        <v>289</v>
      </c>
      <c r="C304" s="54">
        <v>18694</v>
      </c>
      <c r="D304" s="56">
        <v>1.8402258325456706E-4</v>
      </c>
      <c r="E304" s="145"/>
      <c r="F304" s="100">
        <f>VLOOKUP(A304,'OPEB Amounts_Report'!$A$10:$A$324,1,FALSE)</f>
        <v>20317</v>
      </c>
      <c r="G304" s="146"/>
      <c r="H304" s="25"/>
    </row>
    <row r="305" spans="1:8">
      <c r="A305" s="143">
        <v>2442</v>
      </c>
      <c r="B305" s="149" t="s">
        <v>444</v>
      </c>
      <c r="C305" s="55">
        <v>5902</v>
      </c>
      <c r="D305" s="57">
        <v>5.8098924059508651E-5</v>
      </c>
      <c r="E305" s="145"/>
      <c r="F305" s="100">
        <f>VLOOKUP(A305,'OPEB Amounts_Report'!$A$10:$A$324,1,FALSE)</f>
        <v>2442</v>
      </c>
      <c r="G305" s="146"/>
      <c r="H305" s="25"/>
    </row>
    <row r="306" spans="1:8">
      <c r="A306" s="147">
        <v>30090</v>
      </c>
      <c r="B306" s="148" t="s">
        <v>290</v>
      </c>
      <c r="C306" s="54">
        <v>27589</v>
      </c>
      <c r="D306" s="56">
        <v>2.7158441475394517E-4</v>
      </c>
      <c r="E306" s="145"/>
      <c r="F306" s="100">
        <f>VLOOKUP(A306,'OPEB Amounts_Report'!$A$10:$A$324,1,FALSE)</f>
        <v>30090</v>
      </c>
      <c r="G306" s="146"/>
      <c r="H306" s="25"/>
    </row>
    <row r="307" spans="1:8">
      <c r="A307" s="143">
        <v>29330</v>
      </c>
      <c r="B307" s="149" t="s">
        <v>291</v>
      </c>
      <c r="C307" s="55">
        <v>11816</v>
      </c>
      <c r="D307" s="57">
        <v>1.1631597537905019E-4</v>
      </c>
      <c r="E307" s="145"/>
      <c r="F307" s="100">
        <f>VLOOKUP(A307,'OPEB Amounts_Report'!$A$10:$A$324,1,FALSE)</f>
        <v>29330</v>
      </c>
      <c r="G307" s="146"/>
      <c r="H307" s="25"/>
    </row>
    <row r="308" spans="1:8">
      <c r="A308" s="147">
        <v>12038</v>
      </c>
      <c r="B308" s="148" t="s">
        <v>292</v>
      </c>
      <c r="C308" s="54">
        <v>254825</v>
      </c>
      <c r="D308" s="56">
        <v>2.508481586490053E-3</v>
      </c>
      <c r="E308" s="145"/>
      <c r="F308" s="100">
        <f>VLOOKUP(A308,'OPEB Amounts_Report'!$A$10:$A$324,1,FALSE)</f>
        <v>12038</v>
      </c>
      <c r="G308" s="146"/>
      <c r="H308" s="25"/>
    </row>
    <row r="309" spans="1:8">
      <c r="A309" s="143">
        <v>8099</v>
      </c>
      <c r="B309" s="149" t="s">
        <v>293</v>
      </c>
      <c r="C309" s="55">
        <v>420509</v>
      </c>
      <c r="D309" s="57">
        <v>4.1394646657641346E-3</v>
      </c>
      <c r="E309" s="145"/>
      <c r="F309" s="100">
        <f>VLOOKUP(A309,'OPEB Amounts_Report'!$A$10:$A$324,1,FALSE)</f>
        <v>8099</v>
      </c>
      <c r="G309" s="146"/>
      <c r="H309" s="25"/>
    </row>
    <row r="310" spans="1:8">
      <c r="A310" s="147">
        <v>2417</v>
      </c>
      <c r="B310" s="148" t="s">
        <v>294</v>
      </c>
      <c r="C310" s="54">
        <v>8891</v>
      </c>
      <c r="D310" s="56">
        <v>8.7522455746033787E-5</v>
      </c>
      <c r="E310" s="145"/>
      <c r="F310" s="100">
        <f>VLOOKUP(A310,'OPEB Amounts_Report'!$A$10:$A$324,1,FALSE)</f>
        <v>2417</v>
      </c>
      <c r="G310" s="146"/>
      <c r="H310" s="25"/>
    </row>
    <row r="311" spans="1:8">
      <c r="A311" s="143">
        <v>13142</v>
      </c>
      <c r="B311" s="149" t="s">
        <v>295</v>
      </c>
      <c r="C311" s="150">
        <v>265554</v>
      </c>
      <c r="D311" s="151">
        <v>2.6140972008977907E-3</v>
      </c>
      <c r="E311" s="145"/>
      <c r="F311" s="100">
        <f>VLOOKUP(A311,'OPEB Amounts_Report'!$A$10:$A$324,1,FALSE)</f>
        <v>13142</v>
      </c>
    </row>
    <row r="312" spans="1:8">
      <c r="A312" s="147"/>
      <c r="B312" s="148"/>
      <c r="C312" s="54"/>
      <c r="D312" s="56"/>
      <c r="E312" s="29"/>
      <c r="F312" s="29"/>
    </row>
    <row r="313" spans="1:8" ht="13.5" thickBot="1">
      <c r="A313" s="152"/>
      <c r="B313" s="153"/>
      <c r="C313" s="79">
        <f>SUM(C9:C312)</f>
        <v>101585358</v>
      </c>
      <c r="D313" s="59">
        <f>SUM(D9:D312)</f>
        <v>1.0000000000000007</v>
      </c>
      <c r="E313" s="29"/>
      <c r="F313" s="29"/>
    </row>
    <row r="314" spans="1:8" ht="13.5" thickTop="1">
      <c r="A314" s="152"/>
      <c r="B314" s="153"/>
      <c r="C314" s="101"/>
      <c r="D314" s="58"/>
      <c r="E314" s="29"/>
      <c r="F314" s="29"/>
    </row>
    <row r="315" spans="1:8">
      <c r="A315" s="152"/>
      <c r="B315" s="153"/>
      <c r="E315" s="29"/>
      <c r="F315" s="29"/>
    </row>
    <row r="316" spans="1:8">
      <c r="A316" s="152"/>
      <c r="B316" s="153"/>
      <c r="C316" s="101"/>
      <c r="D316" s="58"/>
      <c r="E316" s="29"/>
      <c r="F316" s="29"/>
    </row>
    <row r="317" spans="1:8">
      <c r="A317" s="152"/>
      <c r="B317" s="153"/>
      <c r="C317" s="101"/>
      <c r="D317" s="58"/>
      <c r="E317" s="29"/>
      <c r="F317" s="29"/>
    </row>
    <row r="318" spans="1:8">
      <c r="A318" s="62"/>
      <c r="C318" s="154"/>
    </row>
  </sheetData>
  <mergeCells count="3">
    <mergeCell ref="A1:D1"/>
    <mergeCell ref="A2:D2"/>
    <mergeCell ref="A3:D3"/>
  </mergeCells>
  <printOptions horizontalCentered="1"/>
  <pageMargins left="0.7" right="0.7" top="0.5" bottom="0.5" header="0.5" footer="0.5"/>
  <pageSetup scale="75" firstPageNumber="4" orientation="portrait" useFirstPageNumber="1" r:id="rId1"/>
  <headerFooter scaleWithDoc="0">
    <oddFooter>&amp;C&amp;"Arial,Regular"&amp;10&amp;P</oddFooter>
    <evenHeader xml:space="preserve">&amp;L&amp;"Arial,Bold"&amp;12
</evenHeader>
    <evenFooter>&amp;R&amp;"Arial,Regular"&amp;10&amp;P</evenFooter>
  </headerFooter>
  <rowBreaks count="4" manualBreakCount="4">
    <brk id="72" max="3" man="1"/>
    <brk id="135" max="3" man="1"/>
    <brk id="198" max="3" man="1"/>
    <brk id="256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1538D-9E9B-4E15-82D7-BD91EC0F5086}">
  <sheetPr>
    <tabColor rgb="FF92D050"/>
  </sheetPr>
  <dimension ref="A1:R336"/>
  <sheetViews>
    <sheetView view="pageBreakPreview" topLeftCell="A6" zoomScale="85" zoomScaleNormal="100" zoomScaleSheetLayoutView="85" workbookViewId="0">
      <pane ySplit="2" topLeftCell="A222" activePane="bottomLeft" state="frozen"/>
      <selection activeCell="A234" sqref="A234:XFD234"/>
      <selection pane="bottomLeft" activeCell="A234" sqref="A234:XFD234"/>
    </sheetView>
  </sheetViews>
  <sheetFormatPr defaultColWidth="8.7109375" defaultRowHeight="12" customHeight="1"/>
  <cols>
    <col min="1" max="1" width="10" style="132" customWidth="1"/>
    <col min="2" max="2" width="57.28515625" style="132" customWidth="1"/>
    <col min="3" max="3" width="14.28515625" style="132" bestFit="1" customWidth="1"/>
    <col min="4" max="4" width="12.42578125" style="132" customWidth="1"/>
    <col min="5" max="8" width="13.7109375" style="132" customWidth="1"/>
    <col min="9" max="9" width="1" style="132" customWidth="1"/>
    <col min="10" max="10" width="11.7109375" style="132" customWidth="1"/>
    <col min="11" max="11" width="12.7109375" style="132" bestFit="1" customWidth="1"/>
    <col min="12" max="12" width="11.7109375" style="132" customWidth="1"/>
    <col min="13" max="13" width="13.5703125" style="132" customWidth="1"/>
    <col min="14" max="14" width="0.7109375" style="132" customWidth="1"/>
    <col min="15" max="15" width="13.5703125" style="132" customWidth="1"/>
    <col min="16" max="16" width="11.7109375" style="132" customWidth="1"/>
    <col min="17" max="17" width="12.28515625" style="132" bestFit="1" customWidth="1"/>
    <col min="18" max="18" width="13.7109375" style="132" bestFit="1" customWidth="1"/>
    <col min="19" max="16384" width="8.7109375" style="132"/>
  </cols>
  <sheetData>
    <row r="1" spans="1:18" ht="15" customHeight="1">
      <c r="A1" s="257" t="s">
        <v>391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8" ht="15" customHeight="1">
      <c r="A2" s="258" t="s">
        <v>393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8" ht="15" customHeight="1">
      <c r="A3" s="258" t="s">
        <v>535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8" ht="15" customHeight="1"/>
    <row r="6" spans="1:18" ht="12" customHeight="1">
      <c r="A6" s="155"/>
      <c r="B6" s="155"/>
      <c r="C6" s="156"/>
      <c r="D6" s="259" t="s">
        <v>376</v>
      </c>
      <c r="E6" s="259"/>
      <c r="F6" s="259"/>
      <c r="G6" s="259"/>
      <c r="H6" s="259"/>
      <c r="I6" s="156"/>
      <c r="J6" s="259" t="s">
        <v>296</v>
      </c>
      <c r="K6" s="259"/>
      <c r="L6" s="259"/>
      <c r="M6" s="259"/>
      <c r="N6" s="155"/>
      <c r="O6" s="259" t="s">
        <v>397</v>
      </c>
      <c r="P6" s="259"/>
      <c r="Q6" s="259"/>
    </row>
    <row r="7" spans="1:18" ht="90.75" customHeight="1">
      <c r="A7" s="157" t="s">
        <v>0</v>
      </c>
      <c r="B7" s="157" t="s">
        <v>1</v>
      </c>
      <c r="C7" s="157" t="s">
        <v>536</v>
      </c>
      <c r="D7" s="157" t="s">
        <v>297</v>
      </c>
      <c r="E7" s="157" t="s">
        <v>298</v>
      </c>
      <c r="F7" s="158" t="s">
        <v>299</v>
      </c>
      <c r="G7" s="159" t="s">
        <v>377</v>
      </c>
      <c r="H7" s="159" t="s">
        <v>378</v>
      </c>
      <c r="I7" s="157"/>
      <c r="J7" s="157" t="s">
        <v>297</v>
      </c>
      <c r="K7" s="157" t="s">
        <v>299</v>
      </c>
      <c r="L7" s="157" t="s">
        <v>377</v>
      </c>
      <c r="M7" s="157" t="s">
        <v>300</v>
      </c>
      <c r="N7" s="157"/>
      <c r="O7" s="157" t="s">
        <v>399</v>
      </c>
      <c r="P7" s="157" t="s">
        <v>390</v>
      </c>
      <c r="Q7" s="157" t="s">
        <v>398</v>
      </c>
    </row>
    <row r="8" spans="1:18" ht="12" customHeight="1">
      <c r="A8" s="160"/>
      <c r="B8" s="161"/>
      <c r="C8" s="161">
        <v>3</v>
      </c>
      <c r="D8" s="161">
        <v>4</v>
      </c>
      <c r="E8" s="161">
        <v>5</v>
      </c>
      <c r="F8" s="162">
        <v>6</v>
      </c>
      <c r="G8" s="162">
        <v>7</v>
      </c>
      <c r="H8" s="161">
        <v>8</v>
      </c>
      <c r="I8" s="162"/>
      <c r="J8" s="161">
        <v>9</v>
      </c>
      <c r="K8" s="161">
        <v>10</v>
      </c>
      <c r="L8" s="161">
        <v>11</v>
      </c>
      <c r="M8" s="161">
        <v>12</v>
      </c>
      <c r="N8" s="161"/>
      <c r="O8" s="161">
        <v>13</v>
      </c>
      <c r="P8" s="161">
        <v>14</v>
      </c>
      <c r="Q8" s="161">
        <v>15</v>
      </c>
    </row>
    <row r="9" spans="1:18" ht="12" customHeight="1">
      <c r="A9" s="163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</row>
    <row r="10" spans="1:18" ht="12" customHeight="1">
      <c r="A10" s="164">
        <v>1341</v>
      </c>
      <c r="B10" s="165" t="s">
        <v>5</v>
      </c>
      <c r="C10" s="126">
        <f>ROUND(VLOOKUP(A10,'Contribution Allocation_Report'!$A$9:$D$311,4,FALSE)*'OPEB Amounts_Report'!$C$326,0)-2</f>
        <v>552044291</v>
      </c>
      <c r="D10" s="126">
        <f>ROUND(VLOOKUP(A10,'Contribution Allocation_Report'!$A$9:$D$311,4,FALSE)*'OPEB Amounts_Report'!$D$326,0)</f>
        <v>9182121</v>
      </c>
      <c r="E10" s="126">
        <f>ROUND(VLOOKUP(A10,'Contribution Allocation_Report'!$A$9:$D$311,4,FALSE)*'OPEB Amounts_Report'!$E$326,0)+1</f>
        <v>7612174</v>
      </c>
      <c r="F10" s="126">
        <f>ROUND(VLOOKUP(A10,'Contribution Allocation_Report'!$A$9:$D$311,4,FALSE)*'OPEB Amounts_Report'!$F$326,0)+7</f>
        <v>117793170</v>
      </c>
      <c r="G10" s="126">
        <f>INDEX('Change in Proportion Layers'!$AC$8:$AC$324,MATCH('OPEB Amounts_Report'!A10,'Change in Proportion Layers'!$A$8:$A$324,0))</f>
        <v>4709669</v>
      </c>
      <c r="H10" s="126">
        <f>SUM(D10:G10)</f>
        <v>139297134</v>
      </c>
      <c r="I10" s="126"/>
      <c r="J10" s="126">
        <f>ROUND(VLOOKUP(A10,'Contribution Allocation_Report'!$A$9:$D$311,4,FALSE)*'OPEB Amounts_Report'!$J$326,0)</f>
        <v>81824690</v>
      </c>
      <c r="K10" s="126">
        <f>ROUND(VLOOKUP(A10,'Contribution Allocation_Report'!$A$9:$D$311,4,FALSE)*'OPEB Amounts_Report'!$K$326,0)+4</f>
        <v>409224217</v>
      </c>
      <c r="L10" s="128">
        <f>INDEX('Change in Proportion Layers'!$AD$8:$AD$324,MATCH('OPEB Amounts_Report'!A10,'Change in Proportion Layers'!$A$8:$A$324,0))</f>
        <v>13983298</v>
      </c>
      <c r="M10" s="126">
        <f t="shared" ref="M10:M73" si="0">SUM(J10:L10)</f>
        <v>505032205</v>
      </c>
      <c r="N10" s="127"/>
      <c r="O10" s="127">
        <f>ROUND(VLOOKUP(A10,'Contribution Allocation_Report'!$A$9:$D$311,4,FALSE)*'OPEB Amounts_Report'!$O$326,0)+7</f>
        <v>-116135501</v>
      </c>
      <c r="P10" s="127">
        <f>INDEX('Change in Proportion Layers'!$AA$8:$AA$324,MATCH('OPEB Amounts_Report'!A10,'Change in Proportion Layers'!$A$8:$A$324,0))</f>
        <v>-1725602</v>
      </c>
      <c r="Q10" s="127">
        <f>+O10+P10</f>
        <v>-117861103</v>
      </c>
      <c r="R10" s="39"/>
    </row>
    <row r="11" spans="1:18" ht="12" customHeight="1">
      <c r="A11" s="166">
        <v>2308</v>
      </c>
      <c r="B11" s="167" t="s">
        <v>6</v>
      </c>
      <c r="C11" s="122">
        <f>ROUND(VLOOKUP(A11,'Contribution Allocation_Report'!$A$9:$D$311,4,FALSE)*'OPEB Amounts_Report'!$C$326,0)</f>
        <v>1044376</v>
      </c>
      <c r="D11" s="122">
        <f>ROUND(VLOOKUP(A11,'Contribution Allocation_Report'!$A$9:$D$311,4,FALSE)*'OPEB Amounts_Report'!$D$326,0)</f>
        <v>17371</v>
      </c>
      <c r="E11" s="122">
        <f>ROUND(VLOOKUP(A11,'Contribution Allocation_Report'!$A$9:$D$311,4,FALSE)*'OPEB Amounts_Report'!$E$326,0)</f>
        <v>14401</v>
      </c>
      <c r="F11" s="122">
        <f>ROUND(VLOOKUP(A11,'Contribution Allocation_Report'!$A$9:$D$311,4,FALSE)*'OPEB Amounts_Report'!$F$326,0)</f>
        <v>222845</v>
      </c>
      <c r="G11" s="122">
        <f>INDEX('Change in Proportion Layers'!$AC$8:$AC$324,MATCH('OPEB Amounts_Report'!A11,'Change in Proportion Layers'!$A$8:$A$324,0))</f>
        <v>579921</v>
      </c>
      <c r="H11" s="122">
        <f t="shared" ref="H11:H74" si="1">SUM(D11:G11)</f>
        <v>834538</v>
      </c>
      <c r="I11" s="122"/>
      <c r="J11" s="122">
        <f>ROUND(VLOOKUP(A11,'Contribution Allocation_Report'!$A$9:$D$311,4,FALSE)*'OPEB Amounts_Report'!$J$326,0)</f>
        <v>154799</v>
      </c>
      <c r="K11" s="122">
        <f>ROUND(VLOOKUP(A11,'Contribution Allocation_Report'!$A$9:$D$311,4,FALSE)*'OPEB Amounts_Report'!$K$326,0)</f>
        <v>774184</v>
      </c>
      <c r="L11" s="122">
        <f>INDEX('Change in Proportion Layers'!$AD$8:$AD$324,MATCH('OPEB Amounts_Report'!A11,'Change in Proportion Layers'!$A$8:$A$324,0))</f>
        <v>20856</v>
      </c>
      <c r="M11" s="122">
        <f t="shared" si="0"/>
        <v>949839</v>
      </c>
      <c r="N11" s="123"/>
      <c r="O11" s="123">
        <f>ROUND(VLOOKUP(A11,'Contribution Allocation_Report'!$A$9:$D$311,4,FALSE)*'OPEB Amounts_Report'!$O$326,0)</f>
        <v>-219709</v>
      </c>
      <c r="P11" s="123">
        <f>INDEX('Change in Proportion Layers'!$AA$8:$AA$324,MATCH('OPEB Amounts_Report'!A11,'Change in Proportion Layers'!$A$8:$A$324,0))</f>
        <v>144200</v>
      </c>
      <c r="Q11" s="123">
        <f t="shared" ref="Q11:Q74" si="2">+O11+P11</f>
        <v>-75509</v>
      </c>
    </row>
    <row r="12" spans="1:18" ht="12" customHeight="1">
      <c r="A12" s="164">
        <v>2340</v>
      </c>
      <c r="B12" s="168" t="s">
        <v>7</v>
      </c>
      <c r="C12" s="120">
        <f>ROUND(VLOOKUP(A12,'Contribution Allocation_Report'!$A$9:$D$311,4,FALSE)*'OPEB Amounts_Report'!$C$326,0)</f>
        <v>925252</v>
      </c>
      <c r="D12" s="120">
        <f>ROUND(VLOOKUP(A12,'Contribution Allocation_Report'!$A$9:$D$311,4,FALSE)*'OPEB Amounts_Report'!$D$326,0)</f>
        <v>15390</v>
      </c>
      <c r="E12" s="120">
        <f>ROUND(VLOOKUP(A12,'Contribution Allocation_Report'!$A$9:$D$311,4,FALSE)*'OPEB Amounts_Report'!$E$326,0)</f>
        <v>12758</v>
      </c>
      <c r="F12" s="120">
        <f>ROUND(VLOOKUP(A12,'Contribution Allocation_Report'!$A$9:$D$311,4,FALSE)*'OPEB Amounts_Report'!$F$326,0)</f>
        <v>197427</v>
      </c>
      <c r="G12" s="120">
        <f>INDEX('Change in Proportion Layers'!$AC$8:$AC$324,MATCH('OPEB Amounts_Report'!A12,'Change in Proportion Layers'!$A$8:$A$324,0))</f>
        <v>36452</v>
      </c>
      <c r="H12" s="120">
        <f t="shared" si="1"/>
        <v>262027</v>
      </c>
      <c r="I12" s="120"/>
      <c r="J12" s="120">
        <f>ROUND(VLOOKUP(A12,'Contribution Allocation_Report'!$A$9:$D$311,4,FALSE)*'OPEB Amounts_Report'!$J$326,0)</f>
        <v>137142</v>
      </c>
      <c r="K12" s="120">
        <f>ROUND(VLOOKUP(A12,'Contribution Allocation_Report'!$A$9:$D$311,4,FALSE)*'OPEB Amounts_Report'!$K$326,0)</f>
        <v>685879</v>
      </c>
      <c r="L12" s="120">
        <f>INDEX('Change in Proportion Layers'!$AD$8:$AD$324,MATCH('OPEB Amounts_Report'!A12,'Change in Proportion Layers'!$A$8:$A$324,0))</f>
        <v>59979</v>
      </c>
      <c r="M12" s="120">
        <f t="shared" si="0"/>
        <v>883000</v>
      </c>
      <c r="N12" s="121"/>
      <c r="O12" s="121">
        <f>ROUND(VLOOKUP(A12,'Contribution Allocation_Report'!$A$9:$D$311,4,FALSE)*'OPEB Amounts_Report'!$O$326,0)</f>
        <v>-194649</v>
      </c>
      <c r="P12" s="121">
        <f>INDEX('Change in Proportion Layers'!$AA$8:$AA$324,MATCH('OPEB Amounts_Report'!A12,'Change in Proportion Layers'!$A$8:$A$324,0))</f>
        <v>-9713</v>
      </c>
      <c r="Q12" s="121">
        <f t="shared" si="2"/>
        <v>-204362</v>
      </c>
    </row>
    <row r="13" spans="1:18" ht="12" customHeight="1">
      <c r="A13" s="166">
        <v>1301</v>
      </c>
      <c r="B13" s="167" t="s">
        <v>8</v>
      </c>
      <c r="C13" s="122">
        <f>ROUND(VLOOKUP(A13,'Contribution Allocation_Report'!$A$9:$D$311,4,FALSE)*'OPEB Amounts_Report'!$C$326,0)</f>
        <v>1083606</v>
      </c>
      <c r="D13" s="122">
        <f>ROUND(VLOOKUP(A13,'Contribution Allocation_Report'!$A$9:$D$311,4,FALSE)*'OPEB Amounts_Report'!$D$326,0)</f>
        <v>18024</v>
      </c>
      <c r="E13" s="122">
        <f>ROUND(VLOOKUP(A13,'Contribution Allocation_Report'!$A$9:$D$311,4,FALSE)*'OPEB Amounts_Report'!$E$326,0)</f>
        <v>14942</v>
      </c>
      <c r="F13" s="122">
        <f>ROUND(VLOOKUP(A13,'Contribution Allocation_Report'!$A$9:$D$311,4,FALSE)*'OPEB Amounts_Report'!$F$326,0)</f>
        <v>231216</v>
      </c>
      <c r="G13" s="122">
        <f>INDEX('Change in Proportion Layers'!$AC$8:$AC$324,MATCH('OPEB Amounts_Report'!A13,'Change in Proportion Layers'!$A$8:$A$324,0))</f>
        <v>216112</v>
      </c>
      <c r="H13" s="122">
        <f t="shared" si="1"/>
        <v>480294</v>
      </c>
      <c r="I13" s="122"/>
      <c r="J13" s="122">
        <f>ROUND(VLOOKUP(A13,'Contribution Allocation_Report'!$A$9:$D$311,4,FALSE)*'OPEB Amounts_Report'!$J$326,0)</f>
        <v>160613</v>
      </c>
      <c r="K13" s="122">
        <f>ROUND(VLOOKUP(A13,'Contribution Allocation_Report'!$A$9:$D$311,4,FALSE)*'OPEB Amounts_Report'!$K$326,0)</f>
        <v>803265</v>
      </c>
      <c r="L13" s="122">
        <f>INDEX('Change in Proportion Layers'!$AD$8:$AD$324,MATCH('OPEB Amounts_Report'!A13,'Change in Proportion Layers'!$A$8:$A$324,0))</f>
        <v>44867</v>
      </c>
      <c r="M13" s="122">
        <f t="shared" si="0"/>
        <v>1008745</v>
      </c>
      <c r="N13" s="123"/>
      <c r="O13" s="123">
        <f>ROUND(VLOOKUP(A13,'Contribution Allocation_Report'!$A$9:$D$311,4,FALSE)*'OPEB Amounts_Report'!$O$326,0)</f>
        <v>-227962</v>
      </c>
      <c r="P13" s="123">
        <f>INDEX('Change in Proportion Layers'!$AA$8:$AA$324,MATCH('OPEB Amounts_Report'!A13,'Change in Proportion Layers'!$A$8:$A$324,0))</f>
        <v>49503</v>
      </c>
      <c r="Q13" s="123">
        <f t="shared" si="2"/>
        <v>-178459</v>
      </c>
    </row>
    <row r="14" spans="1:18" ht="12" customHeight="1">
      <c r="A14" s="164">
        <v>2390</v>
      </c>
      <c r="B14" s="168" t="s">
        <v>9</v>
      </c>
      <c r="C14" s="120">
        <f>ROUND(VLOOKUP(A14,'Contribution Allocation_Report'!$A$9:$D$311,4,FALSE)*'OPEB Amounts_Report'!$C$326,0)</f>
        <v>752244</v>
      </c>
      <c r="D14" s="120">
        <f>ROUND(VLOOKUP(A14,'Contribution Allocation_Report'!$A$9:$D$311,4,FALSE)*'OPEB Amounts_Report'!$D$326,0)</f>
        <v>12512</v>
      </c>
      <c r="E14" s="120">
        <f>ROUND(VLOOKUP(A14,'Contribution Allocation_Report'!$A$9:$D$311,4,FALSE)*'OPEB Amounts_Report'!$E$326,0)</f>
        <v>10373</v>
      </c>
      <c r="F14" s="120">
        <f>ROUND(VLOOKUP(A14,'Contribution Allocation_Report'!$A$9:$D$311,4,FALSE)*'OPEB Amounts_Report'!$F$326,0)</f>
        <v>160511</v>
      </c>
      <c r="G14" s="120">
        <f>INDEX('Change in Proportion Layers'!$AC$8:$AC$324,MATCH('OPEB Amounts_Report'!A14,'Change in Proportion Layers'!$A$8:$A$324,0))</f>
        <v>79208</v>
      </c>
      <c r="H14" s="120">
        <f t="shared" si="1"/>
        <v>262604</v>
      </c>
      <c r="I14" s="120"/>
      <c r="J14" s="120">
        <f>ROUND(VLOOKUP(A14,'Contribution Allocation_Report'!$A$9:$D$311,4,FALSE)*'OPEB Amounts_Report'!$J$326,0)</f>
        <v>111499</v>
      </c>
      <c r="K14" s="120">
        <f>ROUND(VLOOKUP(A14,'Contribution Allocation_Report'!$A$9:$D$311,4,FALSE)*'OPEB Amounts_Report'!$K$326,0)</f>
        <v>557630</v>
      </c>
      <c r="L14" s="120">
        <f>INDEX('Change in Proportion Layers'!$AD$8:$AD$324,MATCH('OPEB Amounts_Report'!A14,'Change in Proportion Layers'!$A$8:$A$324,0))</f>
        <v>182078</v>
      </c>
      <c r="M14" s="120">
        <f t="shared" si="0"/>
        <v>851207</v>
      </c>
      <c r="N14" s="121"/>
      <c r="O14" s="121">
        <f>ROUND(VLOOKUP(A14,'Contribution Allocation_Report'!$A$9:$D$311,4,FALSE)*'OPEB Amounts_Report'!$O$326,0)</f>
        <v>-158252</v>
      </c>
      <c r="P14" s="121">
        <f>INDEX('Change in Proportion Layers'!$AA$8:$AA$324,MATCH('OPEB Amounts_Report'!A14,'Change in Proportion Layers'!$A$8:$A$324,0))</f>
        <v>-82052</v>
      </c>
      <c r="Q14" s="121">
        <f t="shared" si="2"/>
        <v>-240304</v>
      </c>
    </row>
    <row r="15" spans="1:18" ht="12" customHeight="1">
      <c r="A15" s="166">
        <v>2441</v>
      </c>
      <c r="B15" s="167" t="s">
        <v>437</v>
      </c>
      <c r="C15" s="122">
        <f>ROUND(VLOOKUP(A15,'Contribution Allocation_Report'!$A$9:$D$311,4,FALSE)*'OPEB Amounts_Report'!$C$326,0)</f>
        <v>212034</v>
      </c>
      <c r="D15" s="122">
        <f>ROUND(VLOOKUP(A15,'Contribution Allocation_Report'!$A$9:$D$311,4,FALSE)*'OPEB Amounts_Report'!$D$326,0)</f>
        <v>3527</v>
      </c>
      <c r="E15" s="122">
        <f>ROUND(VLOOKUP(A15,'Contribution Allocation_Report'!$A$9:$D$311,4,FALSE)*'OPEB Amounts_Report'!$E$326,0)</f>
        <v>2924</v>
      </c>
      <c r="F15" s="122">
        <f>ROUND(VLOOKUP(A15,'Contribution Allocation_Report'!$A$9:$D$311,4,FALSE)*'OPEB Amounts_Report'!$F$326,0)</f>
        <v>45243</v>
      </c>
      <c r="G15" s="122">
        <f>INDEX('Change in Proportion Layers'!$AC$8:$AC$324,MATCH('OPEB Amounts_Report'!A15,'Change in Proportion Layers'!$A$8:$A$324,0))</f>
        <v>300247</v>
      </c>
      <c r="H15" s="122">
        <f t="shared" si="1"/>
        <v>351941</v>
      </c>
      <c r="I15" s="122"/>
      <c r="J15" s="122">
        <f>ROUND(VLOOKUP(A15,'Contribution Allocation_Report'!$A$9:$D$311,4,FALSE)*'OPEB Amounts_Report'!$J$326,0)</f>
        <v>31428</v>
      </c>
      <c r="K15" s="122">
        <f>ROUND(VLOOKUP(A15,'Contribution Allocation_Report'!$A$9:$D$311,4,FALSE)*'OPEB Amounts_Report'!$K$326,0)</f>
        <v>157178</v>
      </c>
      <c r="L15" s="122">
        <f>INDEX('Change in Proportion Layers'!$AD$8:$AD$324,MATCH('OPEB Amounts_Report'!A15,'Change in Proportion Layers'!$A$8:$A$324,0))</f>
        <v>0</v>
      </c>
      <c r="M15" s="122">
        <f t="shared" si="0"/>
        <v>188606</v>
      </c>
      <c r="N15" s="123"/>
      <c r="O15" s="123">
        <f>ROUND(VLOOKUP(A15,'Contribution Allocation_Report'!$A$9:$D$311,4,FALSE)*'OPEB Amounts_Report'!$O$326,0)</f>
        <v>-44606</v>
      </c>
      <c r="P15" s="123">
        <f>INDEX('Change in Proportion Layers'!$AA$8:$AA$324,MATCH('OPEB Amounts_Report'!A15,'Change in Proportion Layers'!$A$8:$A$324,0))</f>
        <v>73593</v>
      </c>
      <c r="Q15" s="123">
        <f t="shared" si="2"/>
        <v>28987</v>
      </c>
    </row>
    <row r="16" spans="1:18" ht="12" customHeight="1">
      <c r="A16" s="164">
        <v>15046</v>
      </c>
      <c r="B16" s="168" t="s">
        <v>10</v>
      </c>
      <c r="C16" s="120">
        <f>ROUND(VLOOKUP(A16,'Contribution Allocation_Report'!$A$9:$D$311,4,FALSE)*'OPEB Amounts_Report'!$C$326,0)</f>
        <v>15536849</v>
      </c>
      <c r="D16" s="120">
        <f>ROUND(VLOOKUP(A16,'Contribution Allocation_Report'!$A$9:$D$311,4,FALSE)*'OPEB Amounts_Report'!$D$326,0)</f>
        <v>258423</v>
      </c>
      <c r="E16" s="120">
        <f>ROUND(VLOOKUP(A16,'Contribution Allocation_Report'!$A$9:$D$311,4,FALSE)*'OPEB Amounts_Report'!$E$326,0)</f>
        <v>214239</v>
      </c>
      <c r="F16" s="120">
        <f>ROUND(VLOOKUP(A16,'Contribution Allocation_Report'!$A$9:$D$311,4,FALSE)*'OPEB Amounts_Report'!$F$326,0)</f>
        <v>3315195</v>
      </c>
      <c r="G16" s="130">
        <f>INDEX('Change in Proportion Layers'!$AC$8:$AC$324,MATCH('OPEB Amounts_Report'!A16,'Change in Proportion Layers'!$A$8:$A$324,0))</f>
        <v>1124891</v>
      </c>
      <c r="H16" s="120">
        <f t="shared" si="1"/>
        <v>4912748</v>
      </c>
      <c r="I16" s="120"/>
      <c r="J16" s="120">
        <f>ROUND(VLOOKUP(A16,'Contribution Allocation_Report'!$A$9:$D$311,4,FALSE)*'OPEB Amounts_Report'!$J$326,0)</f>
        <v>2302891</v>
      </c>
      <c r="K16" s="120">
        <f>ROUND(VLOOKUP(A16,'Contribution Allocation_Report'!$A$9:$D$311,4,FALSE)*'OPEB Amounts_Report'!$K$326,0)</f>
        <v>11517291</v>
      </c>
      <c r="L16" s="120">
        <f>INDEX('Change in Proportion Layers'!$AD$8:$AD$324,MATCH('OPEB Amounts_Report'!A16,'Change in Proportion Layers'!$A$8:$A$324,0))</f>
        <v>1387232</v>
      </c>
      <c r="M16" s="120">
        <f t="shared" si="0"/>
        <v>15207414</v>
      </c>
      <c r="N16" s="121"/>
      <c r="O16" s="121">
        <f>ROUND(VLOOKUP(A16,'Contribution Allocation_Report'!$A$9:$D$311,4,FALSE)*'OPEB Amounts_Report'!$O$326,0)</f>
        <v>-3268542</v>
      </c>
      <c r="P16" s="121">
        <f>INDEX('Change in Proportion Layers'!$AA$8:$AA$324,MATCH('OPEB Amounts_Report'!A16,'Change in Proportion Layers'!$A$8:$A$324,0))</f>
        <v>-12583</v>
      </c>
      <c r="Q16" s="121">
        <f t="shared" si="2"/>
        <v>-3281125</v>
      </c>
    </row>
    <row r="17" spans="1:17" ht="12" customHeight="1">
      <c r="A17" s="166">
        <v>4380</v>
      </c>
      <c r="B17" s="167" t="s">
        <v>11</v>
      </c>
      <c r="C17" s="122">
        <f>ROUND(VLOOKUP(A17,'Contribution Allocation_Report'!$A$9:$D$311,4,FALSE)*'OPEB Amounts_Report'!$C$326,0)</f>
        <v>16188583</v>
      </c>
      <c r="D17" s="122">
        <f>ROUND(VLOOKUP(A17,'Contribution Allocation_Report'!$A$9:$D$311,4,FALSE)*'OPEB Amounts_Report'!$D$326,0)</f>
        <v>269264</v>
      </c>
      <c r="E17" s="122">
        <f>ROUND(VLOOKUP(A17,'Contribution Allocation_Report'!$A$9:$D$311,4,FALSE)*'OPEB Amounts_Report'!$E$326,0)</f>
        <v>223225</v>
      </c>
      <c r="F17" s="122">
        <f>ROUND(VLOOKUP(A17,'Contribution Allocation_Report'!$A$9:$D$311,4,FALSE)*'OPEB Amounts_Report'!$F$326,0)</f>
        <v>3454260</v>
      </c>
      <c r="G17" s="122">
        <f>INDEX('Change in Proportion Layers'!$AC$8:$AC$324,MATCH('OPEB Amounts_Report'!A17,'Change in Proportion Layers'!$A$8:$A$324,0))</f>
        <v>233696</v>
      </c>
      <c r="H17" s="122">
        <f t="shared" si="1"/>
        <v>4180445</v>
      </c>
      <c r="I17" s="122"/>
      <c r="J17" s="122">
        <f>ROUND(VLOOKUP(A17,'Contribution Allocation_Report'!$A$9:$D$311,4,FALSE)*'OPEB Amounts_Report'!$J$326,0)</f>
        <v>2399492</v>
      </c>
      <c r="K17" s="122">
        <f>ROUND(VLOOKUP(A17,'Contribution Allocation_Report'!$A$9:$D$311,4,FALSE)*'OPEB Amounts_Report'!$K$326,0)</f>
        <v>12000414</v>
      </c>
      <c r="L17" s="131">
        <f>INDEX('Change in Proportion Layers'!$AD$8:$AD$324,MATCH('OPEB Amounts_Report'!A17,'Change in Proportion Layers'!$A$8:$A$324,0))</f>
        <v>2477859</v>
      </c>
      <c r="M17" s="122">
        <f t="shared" si="0"/>
        <v>16877765</v>
      </c>
      <c r="N17" s="123"/>
      <c r="O17" s="123">
        <f>ROUND(VLOOKUP(A17,'Contribution Allocation_Report'!$A$9:$D$311,4,FALSE)*'OPEB Amounts_Report'!$O$326,0)</f>
        <v>-3405649</v>
      </c>
      <c r="P17" s="123">
        <f>INDEX('Change in Proportion Layers'!$AA$8:$AA$324,MATCH('OPEB Amounts_Report'!A17,'Change in Proportion Layers'!$A$8:$A$324,0))</f>
        <v>-806014</v>
      </c>
      <c r="Q17" s="123">
        <f t="shared" si="2"/>
        <v>-4211663</v>
      </c>
    </row>
    <row r="18" spans="1:17" ht="12" customHeight="1">
      <c r="A18" s="164">
        <v>2343</v>
      </c>
      <c r="B18" s="168" t="s">
        <v>438</v>
      </c>
      <c r="C18" s="120">
        <f>ROUND(VLOOKUP(A18,'Contribution Allocation_Report'!$A$9:$D$311,4,FALSE)*'OPEB Amounts_Report'!$C$326,0)</f>
        <v>1007444</v>
      </c>
      <c r="D18" s="120">
        <f>ROUND(VLOOKUP(A18,'Contribution Allocation_Report'!$A$9:$D$311,4,FALSE)*'OPEB Amounts_Report'!$D$326,0)</f>
        <v>16757</v>
      </c>
      <c r="E18" s="120">
        <f>ROUND(VLOOKUP(A18,'Contribution Allocation_Report'!$A$9:$D$311,4,FALSE)*'OPEB Amounts_Report'!$E$326,0)</f>
        <v>13892</v>
      </c>
      <c r="F18" s="120">
        <f>ROUND(VLOOKUP(A18,'Contribution Allocation_Report'!$A$9:$D$311,4,FALSE)*'OPEB Amounts_Report'!$F$326,0)</f>
        <v>214965</v>
      </c>
      <c r="G18" s="130">
        <f>INDEX('Change in Proportion Layers'!$AC$8:$AC$324,MATCH('OPEB Amounts_Report'!A18,'Change in Proportion Layers'!$A$8:$A$324,0))</f>
        <v>159191</v>
      </c>
      <c r="H18" s="120">
        <f t="shared" si="1"/>
        <v>404805</v>
      </c>
      <c r="I18" s="120"/>
      <c r="J18" s="120">
        <f>ROUND(VLOOKUP(A18,'Contribution Allocation_Report'!$A$9:$D$311,4,FALSE)*'OPEB Amounts_Report'!$J$326,0)</f>
        <v>149325</v>
      </c>
      <c r="K18" s="120">
        <f>ROUND(VLOOKUP(A18,'Contribution Allocation_Report'!$A$9:$D$311,4,FALSE)*'OPEB Amounts_Report'!$K$326,0)</f>
        <v>746807</v>
      </c>
      <c r="L18" s="120">
        <f>INDEX('Change in Proportion Layers'!$AD$8:$AD$324,MATCH('OPEB Amounts_Report'!A18,'Change in Proportion Layers'!$A$8:$A$324,0))</f>
        <v>227809</v>
      </c>
      <c r="M18" s="120">
        <f t="shared" si="0"/>
        <v>1123941</v>
      </c>
      <c r="N18" s="121"/>
      <c r="O18" s="121">
        <f>ROUND(VLOOKUP(A18,'Contribution Allocation_Report'!$A$9:$D$311,4,FALSE)*'OPEB Amounts_Report'!$O$326,0)</f>
        <v>-211940</v>
      </c>
      <c r="P18" s="121">
        <f>INDEX('Change in Proportion Layers'!$AA$8:$AA$324,MATCH('OPEB Amounts_Report'!A18,'Change in Proportion Layers'!$A$8:$A$324,0))</f>
        <v>-47949</v>
      </c>
      <c r="Q18" s="121">
        <f t="shared" si="2"/>
        <v>-259889</v>
      </c>
    </row>
    <row r="19" spans="1:17" ht="12" customHeight="1">
      <c r="A19" s="166">
        <v>2435</v>
      </c>
      <c r="B19" s="167" t="s">
        <v>408</v>
      </c>
      <c r="C19" s="122">
        <f>ROUND(VLOOKUP(A19,'Contribution Allocation_Report'!$A$9:$D$311,4,FALSE)*'OPEB Amounts_Report'!$C$326,0)</f>
        <v>433943</v>
      </c>
      <c r="D19" s="122">
        <f>ROUND(VLOOKUP(A19,'Contribution Allocation_Report'!$A$9:$D$311,4,FALSE)*'OPEB Amounts_Report'!$D$326,0)</f>
        <v>7218</v>
      </c>
      <c r="E19" s="122">
        <f>ROUND(VLOOKUP(A19,'Contribution Allocation_Report'!$A$9:$D$311,4,FALSE)*'OPEB Amounts_Report'!$E$326,0)</f>
        <v>5984</v>
      </c>
      <c r="F19" s="122">
        <f>ROUND(VLOOKUP(A19,'Contribution Allocation_Report'!$A$9:$D$311,4,FALSE)*'OPEB Amounts_Report'!$F$326,0)</f>
        <v>92593</v>
      </c>
      <c r="G19" s="122">
        <f>INDEX('Change in Proportion Layers'!$AC$8:$AC$324,MATCH('OPEB Amounts_Report'!A19,'Change in Proportion Layers'!$A$8:$A$324,0))</f>
        <v>492729</v>
      </c>
      <c r="H19" s="122">
        <f t="shared" si="1"/>
        <v>598524</v>
      </c>
      <c r="I19" s="122"/>
      <c r="J19" s="122">
        <f>ROUND(VLOOKUP(A19,'Contribution Allocation_Report'!$A$9:$D$311,4,FALSE)*'OPEB Amounts_Report'!$J$326,0)</f>
        <v>64320</v>
      </c>
      <c r="K19" s="122">
        <f>ROUND(VLOOKUP(A19,'Contribution Allocation_Report'!$A$9:$D$311,4,FALSE)*'OPEB Amounts_Report'!$K$326,0)</f>
        <v>321677</v>
      </c>
      <c r="L19" s="122">
        <f>INDEX('Change in Proportion Layers'!$AD$8:$AD$324,MATCH('OPEB Amounts_Report'!A19,'Change in Proportion Layers'!$A$8:$A$324,0))</f>
        <v>0</v>
      </c>
      <c r="M19" s="122">
        <f t="shared" si="0"/>
        <v>385997</v>
      </c>
      <c r="N19" s="123"/>
      <c r="O19" s="123">
        <f>ROUND(VLOOKUP(A19,'Contribution Allocation_Report'!$A$9:$D$311,4,FALSE)*'OPEB Amounts_Report'!$O$326,0)</f>
        <v>-91290</v>
      </c>
      <c r="P19" s="123">
        <f>INDEX('Change in Proportion Layers'!$AA$8:$AA$324,MATCH('OPEB Amounts_Report'!A19,'Change in Proportion Layers'!$A$8:$A$324,0))</f>
        <v>161608</v>
      </c>
      <c r="Q19" s="123">
        <f t="shared" si="2"/>
        <v>70318</v>
      </c>
    </row>
    <row r="20" spans="1:17" ht="12" customHeight="1">
      <c r="A20" s="164">
        <v>4560</v>
      </c>
      <c r="B20" s="168" t="s">
        <v>12</v>
      </c>
      <c r="C20" s="120">
        <f>ROUND(VLOOKUP(A20,'Contribution Allocation_Report'!$A$9:$D$311,4,FALSE)*'OPEB Amounts_Report'!$C$326,0)</f>
        <v>1353575</v>
      </c>
      <c r="D20" s="120">
        <f>ROUND(VLOOKUP(A20,'Contribution Allocation_Report'!$A$9:$D$311,4,FALSE)*'OPEB Amounts_Report'!$D$326,0)</f>
        <v>22514</v>
      </c>
      <c r="E20" s="120">
        <f>ROUND(VLOOKUP(A20,'Contribution Allocation_Report'!$A$9:$D$311,4,FALSE)*'OPEB Amounts_Report'!$E$326,0)</f>
        <v>18665</v>
      </c>
      <c r="F20" s="120">
        <f>ROUND(VLOOKUP(A20,'Contribution Allocation_Report'!$A$9:$D$311,4,FALSE)*'OPEB Amounts_Report'!$F$326,0)</f>
        <v>288821</v>
      </c>
      <c r="G20" s="120">
        <f>INDEX('Change in Proportion Layers'!$AC$8:$AC$324,MATCH('OPEB Amounts_Report'!A20,'Change in Proportion Layers'!$A$8:$A$324,0))</f>
        <v>167293</v>
      </c>
      <c r="H20" s="120">
        <f t="shared" si="1"/>
        <v>497293</v>
      </c>
      <c r="I20" s="120"/>
      <c r="J20" s="120">
        <f>ROUND(VLOOKUP(A20,'Contribution Allocation_Report'!$A$9:$D$311,4,FALSE)*'OPEB Amounts_Report'!$J$326,0)</f>
        <v>200629</v>
      </c>
      <c r="K20" s="120">
        <f>ROUND(VLOOKUP(A20,'Contribution Allocation_Report'!$A$9:$D$311,4,FALSE)*'OPEB Amounts_Report'!$K$326,0)</f>
        <v>1003390</v>
      </c>
      <c r="L20" s="120">
        <f>INDEX('Change in Proportion Layers'!$AD$8:$AD$324,MATCH('OPEB Amounts_Report'!A20,'Change in Proportion Layers'!$A$8:$A$324,0))</f>
        <v>307085</v>
      </c>
      <c r="M20" s="120">
        <f t="shared" si="0"/>
        <v>1511104</v>
      </c>
      <c r="N20" s="121"/>
      <c r="O20" s="121">
        <f>ROUND(VLOOKUP(A20,'Contribution Allocation_Report'!$A$9:$D$311,4,FALSE)*'OPEB Amounts_Report'!$O$326,0)</f>
        <v>-284756</v>
      </c>
      <c r="P20" s="121">
        <f>INDEX('Change in Proportion Layers'!$AA$8:$AA$324,MATCH('OPEB Amounts_Report'!A20,'Change in Proportion Layers'!$A$8:$A$324,0))</f>
        <v>-93020</v>
      </c>
      <c r="Q20" s="121">
        <f t="shared" si="2"/>
        <v>-377776</v>
      </c>
    </row>
    <row r="21" spans="1:17" ht="12" customHeight="1">
      <c r="A21" s="166">
        <v>2341</v>
      </c>
      <c r="B21" s="167" t="s">
        <v>434</v>
      </c>
      <c r="C21" s="122">
        <f>ROUND(VLOOKUP(A21,'Contribution Allocation_Report'!$A$9:$D$311,4,FALSE)*'OPEB Amounts_Report'!$C$326,0)</f>
        <v>852709</v>
      </c>
      <c r="D21" s="122">
        <f>ROUND(VLOOKUP(A21,'Contribution Allocation_Report'!$A$9:$D$311,4,FALSE)*'OPEB Amounts_Report'!$D$326,0)</f>
        <v>14183</v>
      </c>
      <c r="E21" s="122">
        <f>ROUND(VLOOKUP(A21,'Contribution Allocation_Report'!$A$9:$D$311,4,FALSE)*'OPEB Amounts_Report'!$E$326,0)</f>
        <v>11758</v>
      </c>
      <c r="F21" s="122">
        <f>ROUND(VLOOKUP(A21,'Contribution Allocation_Report'!$A$9:$D$311,4,FALSE)*'OPEB Amounts_Report'!$F$326,0)</f>
        <v>181948</v>
      </c>
      <c r="G21" s="122">
        <f>INDEX('Change in Proportion Layers'!$AC$8:$AC$324,MATCH('OPEB Amounts_Report'!A21,'Change in Proportion Layers'!$A$8:$A$324,0))</f>
        <v>16866</v>
      </c>
      <c r="H21" s="122">
        <f t="shared" si="1"/>
        <v>224755</v>
      </c>
      <c r="I21" s="122"/>
      <c r="J21" s="122">
        <f>ROUND(VLOOKUP(A21,'Contribution Allocation_Report'!$A$9:$D$311,4,FALSE)*'OPEB Amounts_Report'!$J$326,0)</f>
        <v>126390</v>
      </c>
      <c r="K21" s="122">
        <f>ROUND(VLOOKUP(A21,'Contribution Allocation_Report'!$A$9:$D$311,4,FALSE)*'OPEB Amounts_Report'!$K$326,0)</f>
        <v>632103</v>
      </c>
      <c r="L21" s="122">
        <f>INDEX('Change in Proportion Layers'!$AD$8:$AD$324,MATCH('OPEB Amounts_Report'!A21,'Change in Proportion Layers'!$A$8:$A$324,0))</f>
        <v>111924</v>
      </c>
      <c r="M21" s="122">
        <f t="shared" si="0"/>
        <v>870417</v>
      </c>
      <c r="N21" s="123"/>
      <c r="O21" s="123">
        <f>ROUND(VLOOKUP(A21,'Contribution Allocation_Report'!$A$9:$D$311,4,FALSE)*'OPEB Amounts_Report'!$O$326,0)</f>
        <v>-179387</v>
      </c>
      <c r="P21" s="123">
        <f>INDEX('Change in Proportion Layers'!$AA$8:$AA$324,MATCH('OPEB Amounts_Report'!A21,'Change in Proportion Layers'!$A$8:$A$324,0))</f>
        <v>-44002</v>
      </c>
      <c r="Q21" s="123">
        <f t="shared" si="2"/>
        <v>-223389</v>
      </c>
    </row>
    <row r="22" spans="1:17" ht="12" customHeight="1">
      <c r="A22" s="164">
        <v>4580</v>
      </c>
      <c r="B22" s="168" t="s">
        <v>409</v>
      </c>
      <c r="C22" s="120">
        <f>ROUND(VLOOKUP(A22,'Contribution Allocation_Report'!$A$9:$D$311,4,FALSE)*'OPEB Amounts_Report'!$C$326,0)</f>
        <v>749673</v>
      </c>
      <c r="D22" s="120">
        <f>ROUND(VLOOKUP(A22,'Contribution Allocation_Report'!$A$9:$D$311,4,FALSE)*'OPEB Amounts_Report'!$D$326,0)</f>
        <v>12469</v>
      </c>
      <c r="E22" s="120">
        <f>ROUND(VLOOKUP(A22,'Contribution Allocation_Report'!$A$9:$D$311,4,FALSE)*'OPEB Amounts_Report'!$E$326,0)</f>
        <v>10337</v>
      </c>
      <c r="F22" s="120">
        <f>ROUND(VLOOKUP(A22,'Contribution Allocation_Report'!$A$9:$D$311,4,FALSE)*'OPEB Amounts_Report'!$F$326,0)</f>
        <v>159962</v>
      </c>
      <c r="G22" s="120">
        <f>INDEX('Change in Proportion Layers'!$AC$8:$AC$324,MATCH('OPEB Amounts_Report'!A22,'Change in Proportion Layers'!$A$8:$A$324,0))</f>
        <v>583648</v>
      </c>
      <c r="H22" s="120">
        <f t="shared" si="1"/>
        <v>766416</v>
      </c>
      <c r="I22" s="120"/>
      <c r="J22" s="120">
        <f>ROUND(VLOOKUP(A22,'Contribution Allocation_Report'!$A$9:$D$311,4,FALSE)*'OPEB Amounts_Report'!$J$326,0)</f>
        <v>111117</v>
      </c>
      <c r="K22" s="120">
        <f>ROUND(VLOOKUP(A22,'Contribution Allocation_Report'!$A$9:$D$311,4,FALSE)*'OPEB Amounts_Report'!$K$326,0)</f>
        <v>555724</v>
      </c>
      <c r="L22" s="130">
        <f>INDEX('Change in Proportion Layers'!$AD$8:$AD$324,MATCH('OPEB Amounts_Report'!A22,'Change in Proportion Layers'!$A$8:$A$324,0))</f>
        <v>66185</v>
      </c>
      <c r="M22" s="120">
        <f t="shared" si="0"/>
        <v>733026</v>
      </c>
      <c r="N22" s="121"/>
      <c r="O22" s="121">
        <f>ROUND(VLOOKUP(A22,'Contribution Allocation_Report'!$A$9:$D$311,4,FALSE)*'OPEB Amounts_Report'!$O$326,0)</f>
        <v>-157711</v>
      </c>
      <c r="P22" s="121">
        <f>INDEX('Change in Proportion Layers'!$AA$8:$AA$324,MATCH('OPEB Amounts_Report'!A22,'Change in Proportion Layers'!$A$8:$A$324,0))</f>
        <v>314530</v>
      </c>
      <c r="Q22" s="121">
        <f t="shared" si="2"/>
        <v>156819</v>
      </c>
    </row>
    <row r="23" spans="1:17" ht="12" customHeight="1">
      <c r="A23" s="166">
        <v>2003</v>
      </c>
      <c r="B23" s="167" t="s">
        <v>13</v>
      </c>
      <c r="C23" s="122">
        <f>ROUND(VLOOKUP(A23,'Contribution Allocation_Report'!$A$9:$D$311,4,FALSE)*'OPEB Amounts_Report'!$C$326,0)</f>
        <v>264483025</v>
      </c>
      <c r="D23" s="122">
        <f>ROUND(VLOOKUP(A23,'Contribution Allocation_Report'!$A$9:$D$311,4,FALSE)*'OPEB Amounts_Report'!$D$326,0)</f>
        <v>4399131</v>
      </c>
      <c r="E23" s="122">
        <f>ROUND(VLOOKUP(A23,'Contribution Allocation_Report'!$A$9:$D$311,4,FALSE)*'OPEB Amounts_Report'!$E$326,0)</f>
        <v>3646973</v>
      </c>
      <c r="F23" s="122">
        <f>ROUND(VLOOKUP(A23,'Contribution Allocation_Report'!$A$9:$D$311,4,FALSE)*'OPEB Amounts_Report'!$F$326,0)</f>
        <v>56434407</v>
      </c>
      <c r="G23" s="122">
        <f>INDEX('Change in Proportion Layers'!$AC$8:$AC$324,MATCH('OPEB Amounts_Report'!A23,'Change in Proportion Layers'!$A$8:$A$324,0))</f>
        <v>16071926</v>
      </c>
      <c r="H23" s="122">
        <f t="shared" si="1"/>
        <v>80552437</v>
      </c>
      <c r="I23" s="122"/>
      <c r="J23" s="122">
        <f>ROUND(VLOOKUP(A23,'Contribution Allocation_Report'!$A$9:$D$311,4,FALSE)*'OPEB Amounts_Report'!$J$326,0)</f>
        <v>39202002</v>
      </c>
      <c r="K23" s="122">
        <f>ROUND(VLOOKUP(A23,'Contribution Allocation_Report'!$A$9:$D$311,4,FALSE)*'OPEB Amounts_Report'!$K$326,0)</f>
        <v>196058286</v>
      </c>
      <c r="L23" s="122">
        <f>INDEX('Change in Proportion Layers'!$AD$8:$AD$324,MATCH('OPEB Amounts_Report'!A23,'Change in Proportion Layers'!$A$8:$A$324,0))</f>
        <v>9140371</v>
      </c>
      <c r="M23" s="122">
        <f t="shared" si="0"/>
        <v>244400659</v>
      </c>
      <c r="N23" s="123"/>
      <c r="O23" s="123">
        <f>ROUND(VLOOKUP(A23,'Contribution Allocation_Report'!$A$9:$D$311,4,FALSE)*'OPEB Amounts_Report'!$O$326,0)</f>
        <v>-55640228</v>
      </c>
      <c r="P23" s="123">
        <f>INDEX('Change in Proportion Layers'!$AA$8:$AA$324,MATCH('OPEB Amounts_Report'!A23,'Change in Proportion Layers'!$A$8:$A$324,0))</f>
        <v>1535967</v>
      </c>
      <c r="Q23" s="123">
        <f t="shared" si="2"/>
        <v>-54104261</v>
      </c>
    </row>
    <row r="24" spans="1:17" ht="12" customHeight="1">
      <c r="A24" s="164">
        <v>2412</v>
      </c>
      <c r="B24" s="168" t="s">
        <v>14</v>
      </c>
      <c r="C24" s="120">
        <f>ROUND(VLOOKUP(A24,'Contribution Allocation_Report'!$A$9:$D$311,4,FALSE)*'OPEB Amounts_Report'!$C$326,0)</f>
        <v>2415313</v>
      </c>
      <c r="D24" s="120">
        <f>ROUND(VLOOKUP(A24,'Contribution Allocation_Report'!$A$9:$D$311,4,FALSE)*'OPEB Amounts_Report'!$D$326,0)</f>
        <v>40174</v>
      </c>
      <c r="E24" s="120">
        <f>ROUND(VLOOKUP(A24,'Contribution Allocation_Report'!$A$9:$D$311,4,FALSE)*'OPEB Amounts_Report'!$E$326,0)</f>
        <v>33305</v>
      </c>
      <c r="F24" s="120">
        <f>ROUND(VLOOKUP(A24,'Contribution Allocation_Report'!$A$9:$D$311,4,FALSE)*'OPEB Amounts_Report'!$F$326,0)</f>
        <v>515371</v>
      </c>
      <c r="G24" s="120">
        <f>INDEX('Change in Proportion Layers'!$AC$8:$AC$324,MATCH('OPEB Amounts_Report'!A24,'Change in Proportion Layers'!$A$8:$A$324,0))</f>
        <v>1878336</v>
      </c>
      <c r="H24" s="120">
        <f t="shared" si="1"/>
        <v>2467186</v>
      </c>
      <c r="I24" s="120"/>
      <c r="J24" s="120">
        <f>ROUND(VLOOKUP(A24,'Contribution Allocation_Report'!$A$9:$D$311,4,FALSE)*'OPEB Amounts_Report'!$J$326,0)</f>
        <v>358001</v>
      </c>
      <c r="K24" s="120">
        <f>ROUND(VLOOKUP(A24,'Contribution Allocation_Report'!$A$9:$D$311,4,FALSE)*'OPEB Amounts_Report'!$K$326,0)</f>
        <v>1790445</v>
      </c>
      <c r="L24" s="120">
        <f>INDEX('Change in Proportion Layers'!$AD$8:$AD$324,MATCH('OPEB Amounts_Report'!A24,'Change in Proportion Layers'!$A$8:$A$324,0))</f>
        <v>0</v>
      </c>
      <c r="M24" s="120">
        <f t="shared" si="0"/>
        <v>2148446</v>
      </c>
      <c r="N24" s="121"/>
      <c r="O24" s="121">
        <f>ROUND(VLOOKUP(A24,'Contribution Allocation_Report'!$A$9:$D$311,4,FALSE)*'OPEB Amounts_Report'!$O$326,0)</f>
        <v>-508118</v>
      </c>
      <c r="P24" s="121">
        <f>INDEX('Change in Proportion Layers'!$AA$8:$AA$324,MATCH('OPEB Amounts_Report'!A24,'Change in Proportion Layers'!$A$8:$A$324,0))</f>
        <v>556310</v>
      </c>
      <c r="Q24" s="121">
        <f t="shared" si="2"/>
        <v>48192</v>
      </c>
    </row>
    <row r="25" spans="1:17" ht="12" customHeight="1">
      <c r="A25" s="166">
        <v>2402</v>
      </c>
      <c r="B25" s="167" t="s">
        <v>15</v>
      </c>
      <c r="C25" s="122">
        <f>ROUND(VLOOKUP(A25,'Contribution Allocation_Report'!$A$9:$D$311,4,FALSE)*'OPEB Amounts_Report'!$C$326,0)</f>
        <v>838578</v>
      </c>
      <c r="D25" s="122">
        <f>ROUND(VLOOKUP(A25,'Contribution Allocation_Report'!$A$9:$D$311,4,FALSE)*'OPEB Amounts_Report'!$D$326,0)</f>
        <v>13948</v>
      </c>
      <c r="E25" s="122">
        <f>ROUND(VLOOKUP(A25,'Contribution Allocation_Report'!$A$9:$D$311,4,FALSE)*'OPEB Amounts_Report'!$E$326,0)</f>
        <v>11563</v>
      </c>
      <c r="F25" s="122">
        <f>ROUND(VLOOKUP(A25,'Contribution Allocation_Report'!$A$9:$D$311,4,FALSE)*'OPEB Amounts_Report'!$F$326,0)</f>
        <v>178933</v>
      </c>
      <c r="G25" s="122">
        <f>INDEX('Change in Proportion Layers'!$AC$8:$AC$324,MATCH('OPEB Amounts_Report'!A25,'Change in Proportion Layers'!$A$8:$A$324,0))</f>
        <v>314800</v>
      </c>
      <c r="H25" s="122">
        <f t="shared" si="1"/>
        <v>519244</v>
      </c>
      <c r="I25" s="122"/>
      <c r="J25" s="122">
        <f>ROUND(VLOOKUP(A25,'Contribution Allocation_Report'!$A$9:$D$311,4,FALSE)*'OPEB Amounts_Report'!$J$326,0)</f>
        <v>124295</v>
      </c>
      <c r="K25" s="122">
        <f>ROUND(VLOOKUP(A25,'Contribution Allocation_Report'!$A$9:$D$311,4,FALSE)*'OPEB Amounts_Report'!$K$326,0)</f>
        <v>621628</v>
      </c>
      <c r="L25" s="122">
        <f>INDEX('Change in Proportion Layers'!$AD$8:$AD$324,MATCH('OPEB Amounts_Report'!A25,'Change in Proportion Layers'!$A$8:$A$324,0))</f>
        <v>107309</v>
      </c>
      <c r="M25" s="122">
        <f t="shared" si="0"/>
        <v>853232</v>
      </c>
      <c r="N25" s="123"/>
      <c r="O25" s="123">
        <f>ROUND(VLOOKUP(A25,'Contribution Allocation_Report'!$A$9:$D$311,4,FALSE)*'OPEB Amounts_Report'!$O$326,0)</f>
        <v>-176415</v>
      </c>
      <c r="P25" s="123">
        <f>INDEX('Change in Proportion Layers'!$AA$8:$AA$324,MATCH('OPEB Amounts_Report'!A25,'Change in Proportion Layers'!$A$8:$A$324,0))</f>
        <v>-9479</v>
      </c>
      <c r="Q25" s="123">
        <f t="shared" si="2"/>
        <v>-185894</v>
      </c>
    </row>
    <row r="26" spans="1:17" ht="12" customHeight="1">
      <c r="A26" s="164">
        <v>2361</v>
      </c>
      <c r="B26" s="168" t="s">
        <v>16</v>
      </c>
      <c r="C26" s="120">
        <f>ROUND(VLOOKUP(A26,'Contribution Allocation_Report'!$A$9:$D$311,4,FALSE)*'OPEB Amounts_Report'!$C$326,0)</f>
        <v>520527</v>
      </c>
      <c r="D26" s="120">
        <f>ROUND(VLOOKUP(A26,'Contribution Allocation_Report'!$A$9:$D$311,4,FALSE)*'OPEB Amounts_Report'!$D$326,0)</f>
        <v>8658</v>
      </c>
      <c r="E26" s="120">
        <f>ROUND(VLOOKUP(A26,'Contribution Allocation_Report'!$A$9:$D$311,4,FALSE)*'OPEB Amounts_Report'!$E$326,0)</f>
        <v>7178</v>
      </c>
      <c r="F26" s="120">
        <f>ROUND(VLOOKUP(A26,'Contribution Allocation_Report'!$A$9:$D$311,4,FALSE)*'OPEB Amounts_Report'!$F$326,0)</f>
        <v>111068</v>
      </c>
      <c r="G26" s="120">
        <f>INDEX('Change in Proportion Layers'!$AC$8:$AC$324,MATCH('OPEB Amounts_Report'!A26,'Change in Proportion Layers'!$A$8:$A$324,0))</f>
        <v>95489</v>
      </c>
      <c r="H26" s="120">
        <f t="shared" si="1"/>
        <v>222393</v>
      </c>
      <c r="I26" s="120"/>
      <c r="J26" s="120">
        <f>ROUND(VLOOKUP(A26,'Contribution Allocation_Report'!$A$9:$D$311,4,FALSE)*'OPEB Amounts_Report'!$J$326,0)</f>
        <v>77153</v>
      </c>
      <c r="K26" s="120">
        <f>ROUND(VLOOKUP(A26,'Contribution Allocation_Report'!$A$9:$D$311,4,FALSE)*'OPEB Amounts_Report'!$K$326,0)</f>
        <v>385861</v>
      </c>
      <c r="L26" s="130">
        <f>INDEX('Change in Proportion Layers'!$AD$8:$AD$324,MATCH('OPEB Amounts_Report'!A26,'Change in Proportion Layers'!$A$8:$A$324,0))</f>
        <v>98404</v>
      </c>
      <c r="M26" s="120">
        <f t="shared" si="0"/>
        <v>561418</v>
      </c>
      <c r="N26" s="121"/>
      <c r="O26" s="121">
        <f>ROUND(VLOOKUP(A26,'Contribution Allocation_Report'!$A$9:$D$311,4,FALSE)*'OPEB Amounts_Report'!$O$326,0)</f>
        <v>-109505</v>
      </c>
      <c r="P26" s="121">
        <f>INDEX('Change in Proportion Layers'!$AA$8:$AA$324,MATCH('OPEB Amounts_Report'!A26,'Change in Proportion Layers'!$A$8:$A$324,0))</f>
        <v>-1317</v>
      </c>
      <c r="Q26" s="121">
        <f t="shared" si="2"/>
        <v>-110822</v>
      </c>
    </row>
    <row r="27" spans="1:17" ht="12" customHeight="1">
      <c r="A27" s="166">
        <v>8347</v>
      </c>
      <c r="B27" s="167" t="s">
        <v>17</v>
      </c>
      <c r="C27" s="122">
        <f>ROUND(VLOOKUP(A27,'Contribution Allocation_Report'!$A$9:$D$311,4,FALSE)*'OPEB Amounts_Report'!$C$326,0)</f>
        <v>609318</v>
      </c>
      <c r="D27" s="122">
        <f>ROUND(VLOOKUP(A27,'Contribution Allocation_Report'!$A$9:$D$311,4,FALSE)*'OPEB Amounts_Report'!$D$326,0)</f>
        <v>10135</v>
      </c>
      <c r="E27" s="122">
        <f>ROUND(VLOOKUP(A27,'Contribution Allocation_Report'!$A$9:$D$311,4,FALSE)*'OPEB Amounts_Report'!$E$326,0)</f>
        <v>8402</v>
      </c>
      <c r="F27" s="122">
        <f>ROUND(VLOOKUP(A27,'Contribution Allocation_Report'!$A$9:$D$311,4,FALSE)*'OPEB Amounts_Report'!$F$326,0)</f>
        <v>130014</v>
      </c>
      <c r="G27" s="122">
        <f>INDEX('Change in Proportion Layers'!$AC$8:$AC$324,MATCH('OPEB Amounts_Report'!A27,'Change in Proportion Layers'!$A$8:$A$324,0))</f>
        <v>64658</v>
      </c>
      <c r="H27" s="122">
        <f t="shared" si="1"/>
        <v>213209</v>
      </c>
      <c r="I27" s="122"/>
      <c r="J27" s="122">
        <f>ROUND(VLOOKUP(A27,'Contribution Allocation_Report'!$A$9:$D$311,4,FALSE)*'OPEB Amounts_Report'!$J$326,0)</f>
        <v>90314</v>
      </c>
      <c r="K27" s="122">
        <f>ROUND(VLOOKUP(A27,'Contribution Allocation_Report'!$A$9:$D$311,4,FALSE)*'OPEB Amounts_Report'!$K$326,0)</f>
        <v>451681</v>
      </c>
      <c r="L27" s="122">
        <f>INDEX('Change in Proportion Layers'!$AD$8:$AD$324,MATCH('OPEB Amounts_Report'!A27,'Change in Proportion Layers'!$A$8:$A$324,0))</f>
        <v>202698</v>
      </c>
      <c r="M27" s="122">
        <f t="shared" si="0"/>
        <v>744693</v>
      </c>
      <c r="N27" s="123"/>
      <c r="O27" s="123">
        <f>ROUND(VLOOKUP(A27,'Contribution Allocation_Report'!$A$9:$D$311,4,FALSE)*'OPEB Amounts_Report'!$O$326,0)</f>
        <v>-128184</v>
      </c>
      <c r="P27" s="123">
        <f>INDEX('Change in Proportion Layers'!$AA$8:$AA$324,MATCH('OPEB Amounts_Report'!A27,'Change in Proportion Layers'!$A$8:$A$324,0))</f>
        <v>-23249</v>
      </c>
      <c r="Q27" s="123">
        <f t="shared" si="2"/>
        <v>-151433</v>
      </c>
    </row>
    <row r="28" spans="1:17" ht="12" customHeight="1">
      <c r="A28" s="164">
        <v>2356</v>
      </c>
      <c r="B28" s="168" t="s">
        <v>18</v>
      </c>
      <c r="C28" s="120">
        <f>ROUND(VLOOKUP(A28,'Contribution Allocation_Report'!$A$9:$D$311,4,FALSE)*'OPEB Amounts_Report'!$C$326,0)</f>
        <v>1355987</v>
      </c>
      <c r="D28" s="120">
        <f>ROUND(VLOOKUP(A28,'Contribution Allocation_Report'!$A$9:$D$311,4,FALSE)*'OPEB Amounts_Report'!$D$326,0)</f>
        <v>22554</v>
      </c>
      <c r="E28" s="120">
        <f>ROUND(VLOOKUP(A28,'Contribution Allocation_Report'!$A$9:$D$311,4,FALSE)*'OPEB Amounts_Report'!$E$326,0)</f>
        <v>18698</v>
      </c>
      <c r="F28" s="120">
        <f>ROUND(VLOOKUP(A28,'Contribution Allocation_Report'!$A$9:$D$311,4,FALSE)*'OPEB Amounts_Report'!$F$326,0)</f>
        <v>289335</v>
      </c>
      <c r="G28" s="120">
        <f>INDEX('Change in Proportion Layers'!$AC$8:$AC$324,MATCH('OPEB Amounts_Report'!A28,'Change in Proportion Layers'!$A$8:$A$324,0))</f>
        <v>240163</v>
      </c>
      <c r="H28" s="120">
        <f t="shared" si="1"/>
        <v>570750</v>
      </c>
      <c r="I28" s="120"/>
      <c r="J28" s="120">
        <f>ROUND(VLOOKUP(A28,'Contribution Allocation_Report'!$A$9:$D$311,4,FALSE)*'OPEB Amounts_Report'!$J$326,0)</f>
        <v>200986</v>
      </c>
      <c r="K28" s="120">
        <f>ROUND(VLOOKUP(A28,'Contribution Allocation_Report'!$A$9:$D$311,4,FALSE)*'OPEB Amounts_Report'!$K$326,0)</f>
        <v>1005178</v>
      </c>
      <c r="L28" s="130">
        <f>INDEX('Change in Proportion Layers'!$AD$8:$AD$324,MATCH('OPEB Amounts_Report'!A28,'Change in Proportion Layers'!$A$8:$A$324,0))</f>
        <v>0</v>
      </c>
      <c r="M28" s="120">
        <f t="shared" si="0"/>
        <v>1206164</v>
      </c>
      <c r="N28" s="121"/>
      <c r="O28" s="121">
        <f>ROUND(VLOOKUP(A28,'Contribution Allocation_Report'!$A$9:$D$311,4,FALSE)*'OPEB Amounts_Report'!$O$326,0)</f>
        <v>-285264</v>
      </c>
      <c r="P28" s="121">
        <f>INDEX('Change in Proportion Layers'!$AA$8:$AA$324,MATCH('OPEB Amounts_Report'!A28,'Change in Proportion Layers'!$A$8:$A$324,0))</f>
        <v>111336</v>
      </c>
      <c r="Q28" s="121">
        <f t="shared" si="2"/>
        <v>-173928</v>
      </c>
    </row>
    <row r="29" spans="1:17" ht="12" customHeight="1">
      <c r="A29" s="166">
        <v>7335</v>
      </c>
      <c r="B29" s="167" t="s">
        <v>19</v>
      </c>
      <c r="C29" s="122">
        <f>ROUND(VLOOKUP(A29,'Contribution Allocation_Report'!$A$9:$D$311,4,FALSE)*'OPEB Amounts_Report'!$C$326,0)</f>
        <v>617442</v>
      </c>
      <c r="D29" s="122">
        <f>ROUND(VLOOKUP(A29,'Contribution Allocation_Report'!$A$9:$D$311,4,FALSE)*'OPEB Amounts_Report'!$D$326,0)</f>
        <v>10270</v>
      </c>
      <c r="E29" s="122">
        <f>ROUND(VLOOKUP(A29,'Contribution Allocation_Report'!$A$9:$D$311,4,FALSE)*'OPEB Amounts_Report'!$E$326,0)</f>
        <v>8514</v>
      </c>
      <c r="F29" s="122">
        <f>ROUND(VLOOKUP(A29,'Contribution Allocation_Report'!$A$9:$D$311,4,FALSE)*'OPEB Amounts_Report'!$F$326,0)</f>
        <v>131747</v>
      </c>
      <c r="G29" s="131">
        <f>INDEX('Change in Proportion Layers'!$AC$8:$AC$324,MATCH('OPEB Amounts_Report'!A29,'Change in Proportion Layers'!$A$8:$A$324,0))</f>
        <v>204979</v>
      </c>
      <c r="H29" s="122">
        <f t="shared" si="1"/>
        <v>355510</v>
      </c>
      <c r="I29" s="122"/>
      <c r="J29" s="122">
        <f>ROUND(VLOOKUP(A29,'Contribution Allocation_Report'!$A$9:$D$311,4,FALSE)*'OPEB Amounts_Report'!$J$326,0)</f>
        <v>91518</v>
      </c>
      <c r="K29" s="122">
        <f>ROUND(VLOOKUP(A29,'Contribution Allocation_Report'!$A$9:$D$311,4,FALSE)*'OPEB Amounts_Report'!$K$326,0)</f>
        <v>457703</v>
      </c>
      <c r="L29" s="122">
        <f>INDEX('Change in Proportion Layers'!$AD$8:$AD$324,MATCH('OPEB Amounts_Report'!A29,'Change in Proportion Layers'!$A$8:$A$324,0))</f>
        <v>71909</v>
      </c>
      <c r="M29" s="122">
        <f t="shared" si="0"/>
        <v>621130</v>
      </c>
      <c r="N29" s="123"/>
      <c r="O29" s="123">
        <f>ROUND(VLOOKUP(A29,'Contribution Allocation_Report'!$A$9:$D$311,4,FALSE)*'OPEB Amounts_Report'!$O$326,0)</f>
        <v>-129893</v>
      </c>
      <c r="P29" s="123">
        <f>INDEX('Change in Proportion Layers'!$AA$8:$AA$324,MATCH('OPEB Amounts_Report'!A29,'Change in Proportion Layers'!$A$8:$A$324,0))</f>
        <v>33878</v>
      </c>
      <c r="Q29" s="123">
        <f t="shared" si="2"/>
        <v>-96015</v>
      </c>
    </row>
    <row r="30" spans="1:17" ht="12" customHeight="1">
      <c r="A30" s="164">
        <v>575</v>
      </c>
      <c r="B30" s="168" t="s">
        <v>410</v>
      </c>
      <c r="C30" s="120">
        <f>ROUND(VLOOKUP(A30,'Contribution Allocation_Report'!$A$9:$D$311,4,FALSE)*'OPEB Amounts_Report'!$C$326,0)</f>
        <v>463480</v>
      </c>
      <c r="D30" s="120">
        <f>ROUND(VLOOKUP(A30,'Contribution Allocation_Report'!$A$9:$D$311,4,FALSE)*'OPEB Amounts_Report'!$D$326,0)</f>
        <v>7709</v>
      </c>
      <c r="E30" s="120">
        <f>ROUND(VLOOKUP(A30,'Contribution Allocation_Report'!$A$9:$D$311,4,FALSE)*'OPEB Amounts_Report'!$E$326,0)</f>
        <v>6391</v>
      </c>
      <c r="F30" s="120">
        <f>ROUND(VLOOKUP(A30,'Contribution Allocation_Report'!$A$9:$D$311,4,FALSE)*'OPEB Amounts_Report'!$F$326,0)</f>
        <v>98896</v>
      </c>
      <c r="G30" s="120">
        <f>INDEX('Change in Proportion Layers'!$AC$8:$AC$324,MATCH('OPEB Amounts_Report'!A30,'Change in Proportion Layers'!$A$8:$A$324,0))</f>
        <v>486044</v>
      </c>
      <c r="H30" s="120">
        <f t="shared" si="1"/>
        <v>599040</v>
      </c>
      <c r="I30" s="120"/>
      <c r="J30" s="120">
        <f>ROUND(VLOOKUP(A30,'Contribution Allocation_Report'!$A$9:$D$311,4,FALSE)*'OPEB Amounts_Report'!$J$326,0)</f>
        <v>68698</v>
      </c>
      <c r="K30" s="120">
        <f>ROUND(VLOOKUP(A30,'Contribution Allocation_Report'!$A$9:$D$311,4,FALSE)*'OPEB Amounts_Report'!$K$326,0)</f>
        <v>343572</v>
      </c>
      <c r="L30" s="130">
        <f>INDEX('Change in Proportion Layers'!$AD$8:$AD$324,MATCH('OPEB Amounts_Report'!A30,'Change in Proportion Layers'!$A$8:$A$324,0))</f>
        <v>0</v>
      </c>
      <c r="M30" s="120">
        <f t="shared" si="0"/>
        <v>412270</v>
      </c>
      <c r="N30" s="121"/>
      <c r="O30" s="121">
        <f>ROUND(VLOOKUP(A30,'Contribution Allocation_Report'!$A$9:$D$311,4,FALSE)*'OPEB Amounts_Report'!$O$326,0)</f>
        <v>-97504</v>
      </c>
      <c r="P30" s="121">
        <f>INDEX('Change in Proportion Layers'!$AA$8:$AA$324,MATCH('OPEB Amounts_Report'!A30,'Change in Proportion Layers'!$A$8:$A$324,0))</f>
        <v>177182</v>
      </c>
      <c r="Q30" s="121">
        <f t="shared" si="2"/>
        <v>79678</v>
      </c>
    </row>
    <row r="31" spans="1:17" ht="12" customHeight="1">
      <c r="A31" s="166">
        <v>2303</v>
      </c>
      <c r="B31" s="167" t="s">
        <v>20</v>
      </c>
      <c r="C31" s="122">
        <f>ROUND(VLOOKUP(A31,'Contribution Allocation_Report'!$A$9:$D$311,4,FALSE)*'OPEB Amounts_Report'!$C$326,0)</f>
        <v>965802</v>
      </c>
      <c r="D31" s="122">
        <f>ROUND(VLOOKUP(A31,'Contribution Allocation_Report'!$A$9:$D$311,4,FALSE)*'OPEB Amounts_Report'!$D$326,0)</f>
        <v>16064</v>
      </c>
      <c r="E31" s="122">
        <f>ROUND(VLOOKUP(A31,'Contribution Allocation_Report'!$A$9:$D$311,4,FALSE)*'OPEB Amounts_Report'!$E$326,0)</f>
        <v>13318</v>
      </c>
      <c r="F31" s="122">
        <f>ROUND(VLOOKUP(A31,'Contribution Allocation_Report'!$A$9:$D$311,4,FALSE)*'OPEB Amounts_Report'!$F$326,0)</f>
        <v>206079</v>
      </c>
      <c r="G31" s="131">
        <f>INDEX('Change in Proportion Layers'!$AC$8:$AC$324,MATCH('OPEB Amounts_Report'!A31,'Change in Proportion Layers'!$A$8:$A$324,0))</f>
        <v>0</v>
      </c>
      <c r="H31" s="122">
        <f t="shared" si="1"/>
        <v>235461</v>
      </c>
      <c r="I31" s="122"/>
      <c r="J31" s="122">
        <f>ROUND(VLOOKUP(A31,'Contribution Allocation_Report'!$A$9:$D$311,4,FALSE)*'OPEB Amounts_Report'!$J$326,0)</f>
        <v>143152</v>
      </c>
      <c r="K31" s="122">
        <f>ROUND(VLOOKUP(A31,'Contribution Allocation_Report'!$A$9:$D$311,4,FALSE)*'OPEB Amounts_Report'!$K$326,0)</f>
        <v>715938</v>
      </c>
      <c r="L31" s="122">
        <f>INDEX('Change in Proportion Layers'!$AD$8:$AD$324,MATCH('OPEB Amounts_Report'!A31,'Change in Proportion Layers'!$A$8:$A$324,0))</f>
        <v>279215</v>
      </c>
      <c r="M31" s="122">
        <f t="shared" si="0"/>
        <v>1138305</v>
      </c>
      <c r="N31" s="123"/>
      <c r="O31" s="123">
        <f>ROUND(VLOOKUP(A31,'Contribution Allocation_Report'!$A$9:$D$311,4,FALSE)*'OPEB Amounts_Report'!$O$326,0)</f>
        <v>-203179</v>
      </c>
      <c r="P31" s="123">
        <f>INDEX('Change in Proportion Layers'!$AA$8:$AA$324,MATCH('OPEB Amounts_Report'!A31,'Change in Proportion Layers'!$A$8:$A$324,0))</f>
        <v>-97647</v>
      </c>
      <c r="Q31" s="123">
        <f t="shared" si="2"/>
        <v>-300826</v>
      </c>
    </row>
    <row r="32" spans="1:17" ht="12" customHeight="1">
      <c r="A32" s="164">
        <v>20316</v>
      </c>
      <c r="B32" s="168" t="s">
        <v>21</v>
      </c>
      <c r="C32" s="120">
        <f>ROUND(VLOOKUP(A32,'Contribution Allocation_Report'!$A$9:$D$311,4,FALSE)*'OPEB Amounts_Report'!$C$326,0)</f>
        <v>607725</v>
      </c>
      <c r="D32" s="120">
        <f>ROUND(VLOOKUP(A32,'Contribution Allocation_Report'!$A$9:$D$311,4,FALSE)*'OPEB Amounts_Report'!$D$326,0)</f>
        <v>10108</v>
      </c>
      <c r="E32" s="120">
        <f>ROUND(VLOOKUP(A32,'Contribution Allocation_Report'!$A$9:$D$311,4,FALSE)*'OPEB Amounts_Report'!$E$326,0)</f>
        <v>8380</v>
      </c>
      <c r="F32" s="120">
        <f>ROUND(VLOOKUP(A32,'Contribution Allocation_Report'!$A$9:$D$311,4,FALSE)*'OPEB Amounts_Report'!$F$326,0)</f>
        <v>129674</v>
      </c>
      <c r="G32" s="120">
        <f>INDEX('Change in Proportion Layers'!$AC$8:$AC$324,MATCH('OPEB Amounts_Report'!A32,'Change in Proportion Layers'!$A$8:$A$324,0))</f>
        <v>185417</v>
      </c>
      <c r="H32" s="120">
        <f t="shared" si="1"/>
        <v>333579</v>
      </c>
      <c r="I32" s="120"/>
      <c r="J32" s="120">
        <f>ROUND(VLOOKUP(A32,'Contribution Allocation_Report'!$A$9:$D$311,4,FALSE)*'OPEB Amounts_Report'!$J$326,0)</f>
        <v>90078</v>
      </c>
      <c r="K32" s="120">
        <f>ROUND(VLOOKUP(A32,'Contribution Allocation_Report'!$A$9:$D$311,4,FALSE)*'OPEB Amounts_Report'!$K$326,0)</f>
        <v>450500</v>
      </c>
      <c r="L32" s="120">
        <f>INDEX('Change in Proportion Layers'!$AD$8:$AD$324,MATCH('OPEB Amounts_Report'!A32,'Change in Proportion Layers'!$A$8:$A$324,0))</f>
        <v>0</v>
      </c>
      <c r="M32" s="120">
        <f t="shared" si="0"/>
        <v>540578</v>
      </c>
      <c r="N32" s="121"/>
      <c r="O32" s="121">
        <f>ROUND(VLOOKUP(A32,'Contribution Allocation_Report'!$A$9:$D$311,4,FALSE)*'OPEB Amounts_Report'!$O$326,0)</f>
        <v>-127849</v>
      </c>
      <c r="P32" s="121">
        <f>INDEX('Change in Proportion Layers'!$AA$8:$AA$324,MATCH('OPEB Amounts_Report'!A32,'Change in Proportion Layers'!$A$8:$A$324,0))</f>
        <v>43773</v>
      </c>
      <c r="Q32" s="121">
        <f t="shared" si="2"/>
        <v>-84076</v>
      </c>
    </row>
    <row r="33" spans="1:17" ht="12" customHeight="1">
      <c r="A33" s="166">
        <v>23121</v>
      </c>
      <c r="B33" s="167" t="s">
        <v>22</v>
      </c>
      <c r="C33" s="122">
        <f>ROUND(VLOOKUP(A33,'Contribution Allocation_Report'!$A$9:$D$311,4,FALSE)*'OPEB Amounts_Report'!$C$326,0)</f>
        <v>708872</v>
      </c>
      <c r="D33" s="122">
        <f>ROUND(VLOOKUP(A33,'Contribution Allocation_Report'!$A$9:$D$311,4,FALSE)*'OPEB Amounts_Report'!$D$326,0)</f>
        <v>11791</v>
      </c>
      <c r="E33" s="122">
        <f>ROUND(VLOOKUP(A33,'Contribution Allocation_Report'!$A$9:$D$311,4,FALSE)*'OPEB Amounts_Report'!$E$326,0)</f>
        <v>9775</v>
      </c>
      <c r="F33" s="122">
        <f>ROUND(VLOOKUP(A33,'Contribution Allocation_Report'!$A$9:$D$311,4,FALSE)*'OPEB Amounts_Report'!$F$326,0)</f>
        <v>151257</v>
      </c>
      <c r="G33" s="122">
        <f>INDEX('Change in Proportion Layers'!$AC$8:$AC$324,MATCH('OPEB Amounts_Report'!A33,'Change in Proportion Layers'!$A$8:$A$324,0))</f>
        <v>96478</v>
      </c>
      <c r="H33" s="122">
        <f t="shared" si="1"/>
        <v>269301</v>
      </c>
      <c r="I33" s="122"/>
      <c r="J33" s="122">
        <f>ROUND(VLOOKUP(A33,'Contribution Allocation_Report'!$A$9:$D$311,4,FALSE)*'OPEB Amounts_Report'!$J$326,0)</f>
        <v>105070</v>
      </c>
      <c r="K33" s="122">
        <f>ROUND(VLOOKUP(A33,'Contribution Allocation_Report'!$A$9:$D$311,4,FALSE)*'OPEB Amounts_Report'!$K$326,0)</f>
        <v>525479</v>
      </c>
      <c r="L33" s="122">
        <f>INDEX('Change in Proportion Layers'!$AD$8:$AD$324,MATCH('OPEB Amounts_Report'!A33,'Change in Proportion Layers'!$A$8:$A$324,0))</f>
        <v>151361</v>
      </c>
      <c r="M33" s="122">
        <f t="shared" si="0"/>
        <v>781910</v>
      </c>
      <c r="N33" s="123"/>
      <c r="O33" s="123">
        <f>ROUND(VLOOKUP(A33,'Contribution Allocation_Report'!$A$9:$D$311,4,FALSE)*'OPEB Amounts_Report'!$O$326,0)</f>
        <v>-149128</v>
      </c>
      <c r="P33" s="123">
        <f>INDEX('Change in Proportion Layers'!$AA$8:$AA$324,MATCH('OPEB Amounts_Report'!A33,'Change in Proportion Layers'!$A$8:$A$324,0))</f>
        <v>-40407</v>
      </c>
      <c r="Q33" s="123">
        <f t="shared" si="2"/>
        <v>-189535</v>
      </c>
    </row>
    <row r="34" spans="1:17" ht="12" customHeight="1">
      <c r="A34" s="164">
        <v>3004</v>
      </c>
      <c r="B34" s="168" t="s">
        <v>23</v>
      </c>
      <c r="C34" s="120">
        <f>ROUND(VLOOKUP(A34,'Contribution Allocation_Report'!$A$9:$D$311,4,FALSE)*'OPEB Amounts_Report'!$C$326,0)</f>
        <v>11076018</v>
      </c>
      <c r="D34" s="120">
        <f>ROUND(VLOOKUP(A34,'Contribution Allocation_Report'!$A$9:$D$311,4,FALSE)*'OPEB Amounts_Report'!$D$326,0)</f>
        <v>184227</v>
      </c>
      <c r="E34" s="120">
        <f>ROUND(VLOOKUP(A34,'Contribution Allocation_Report'!$A$9:$D$311,4,FALSE)*'OPEB Amounts_Report'!$E$326,0)</f>
        <v>152728</v>
      </c>
      <c r="F34" s="120">
        <f>ROUND(VLOOKUP(A34,'Contribution Allocation_Report'!$A$9:$D$311,4,FALSE)*'OPEB Amounts_Report'!$F$326,0)</f>
        <v>2363360</v>
      </c>
      <c r="G34" s="120">
        <f>INDEX('Change in Proportion Layers'!$AC$8:$AC$324,MATCH('OPEB Amounts_Report'!A34,'Change in Proportion Layers'!$A$8:$A$324,0))</f>
        <v>394894</v>
      </c>
      <c r="H34" s="120">
        <f t="shared" si="1"/>
        <v>3095209</v>
      </c>
      <c r="I34" s="120"/>
      <c r="J34" s="120">
        <f>ROUND(VLOOKUP(A34,'Contribution Allocation_Report'!$A$9:$D$311,4,FALSE)*'OPEB Amounts_Report'!$J$326,0)</f>
        <v>1641701</v>
      </c>
      <c r="K34" s="120">
        <f>ROUND(VLOOKUP(A34,'Contribution Allocation_Report'!$A$9:$D$311,4,FALSE)*'OPEB Amounts_Report'!$K$326,0)</f>
        <v>8210527</v>
      </c>
      <c r="L34" s="120">
        <f>INDEX('Change in Proportion Layers'!$AD$8:$AD$324,MATCH('OPEB Amounts_Report'!A34,'Change in Proportion Layers'!$A$8:$A$324,0))</f>
        <v>783582</v>
      </c>
      <c r="M34" s="120">
        <f t="shared" si="0"/>
        <v>10635810</v>
      </c>
      <c r="N34" s="121"/>
      <c r="O34" s="121">
        <f>ROUND(VLOOKUP(A34,'Contribution Allocation_Report'!$A$9:$D$311,4,FALSE)*'OPEB Amounts_Report'!$O$326,0)</f>
        <v>-2330101</v>
      </c>
      <c r="P34" s="121">
        <f>INDEX('Change in Proportion Layers'!$AA$8:$AA$324,MATCH('OPEB Amounts_Report'!A34,'Change in Proportion Layers'!$A$8:$A$324,0))</f>
        <v>-67789</v>
      </c>
      <c r="Q34" s="121">
        <f t="shared" si="2"/>
        <v>-2397890</v>
      </c>
    </row>
    <row r="35" spans="1:17" ht="12" customHeight="1">
      <c r="A35" s="166">
        <v>16050</v>
      </c>
      <c r="B35" s="167" t="s">
        <v>24</v>
      </c>
      <c r="C35" s="122">
        <f>ROUND(VLOOKUP(A35,'Contribution Allocation_Report'!$A$9:$D$311,4,FALSE)*'OPEB Amounts_Report'!$C$326,0)</f>
        <v>7610981</v>
      </c>
      <c r="D35" s="122">
        <f>ROUND(VLOOKUP(A35,'Contribution Allocation_Report'!$A$9:$D$311,4,FALSE)*'OPEB Amounts_Report'!$D$326,0)</f>
        <v>126593</v>
      </c>
      <c r="E35" s="122">
        <f>ROUND(VLOOKUP(A35,'Contribution Allocation_Report'!$A$9:$D$311,4,FALSE)*'OPEB Amounts_Report'!$E$326,0)</f>
        <v>104948</v>
      </c>
      <c r="F35" s="122">
        <f>ROUND(VLOOKUP(A35,'Contribution Allocation_Report'!$A$9:$D$311,4,FALSE)*'OPEB Amounts_Report'!$F$326,0)</f>
        <v>1624003</v>
      </c>
      <c r="G35" s="122">
        <f>INDEX('Change in Proportion Layers'!$AC$8:$AC$324,MATCH('OPEB Amounts_Report'!A35,'Change in Proportion Layers'!$A$8:$A$324,0))</f>
        <v>308682</v>
      </c>
      <c r="H35" s="122">
        <f t="shared" si="1"/>
        <v>2164226</v>
      </c>
      <c r="I35" s="122"/>
      <c r="J35" s="122">
        <f>ROUND(VLOOKUP(A35,'Contribution Allocation_Report'!$A$9:$D$311,4,FALSE)*'OPEB Amounts_Report'!$J$326,0)</f>
        <v>1128109</v>
      </c>
      <c r="K35" s="122">
        <f>ROUND(VLOOKUP(A35,'Contribution Allocation_Report'!$A$9:$D$311,4,FALSE)*'OPEB Amounts_Report'!$K$326,0)</f>
        <v>5641934</v>
      </c>
      <c r="L35" s="122">
        <f>INDEX('Change in Proportion Layers'!$AD$8:$AD$324,MATCH('OPEB Amounts_Report'!A35,'Change in Proportion Layers'!$A$8:$A$324,0))</f>
        <v>471567</v>
      </c>
      <c r="M35" s="122">
        <f t="shared" si="0"/>
        <v>7241610</v>
      </c>
      <c r="N35" s="123"/>
      <c r="O35" s="123">
        <f>ROUND(VLOOKUP(A35,'Contribution Allocation_Report'!$A$9:$D$311,4,FALSE)*'OPEB Amounts_Report'!$O$326,0)</f>
        <v>-1601149</v>
      </c>
      <c r="P35" s="123">
        <f>INDEX('Change in Proportion Layers'!$AA$8:$AA$324,MATCH('OPEB Amounts_Report'!A35,'Change in Proportion Layers'!$A$8:$A$324,0))</f>
        <v>-159095</v>
      </c>
      <c r="Q35" s="123">
        <f t="shared" si="2"/>
        <v>-1760244</v>
      </c>
    </row>
    <row r="36" spans="1:17" ht="12" customHeight="1">
      <c r="A36" s="164">
        <v>14043</v>
      </c>
      <c r="B36" s="168" t="s">
        <v>25</v>
      </c>
      <c r="C36" s="120">
        <f>ROUND(VLOOKUP(A36,'Contribution Allocation_Report'!$A$9:$D$311,4,FALSE)*'OPEB Amounts_Report'!$C$326,0)</f>
        <v>11035650</v>
      </c>
      <c r="D36" s="120">
        <f>ROUND(VLOOKUP(A36,'Contribution Allocation_Report'!$A$9:$D$311,4,FALSE)*'OPEB Amounts_Report'!$D$326,0)</f>
        <v>183555</v>
      </c>
      <c r="E36" s="120">
        <f>ROUND(VLOOKUP(A36,'Contribution Allocation_Report'!$A$9:$D$311,4,FALSE)*'OPEB Amounts_Report'!$E$326,0)</f>
        <v>152171</v>
      </c>
      <c r="F36" s="120">
        <f>ROUND(VLOOKUP(A36,'Contribution Allocation_Report'!$A$9:$D$311,4,FALSE)*'OPEB Amounts_Report'!$F$326,0)</f>
        <v>2354746</v>
      </c>
      <c r="G36" s="120">
        <f>INDEX('Change in Proportion Layers'!$AC$8:$AC$324,MATCH('OPEB Amounts_Report'!A36,'Change in Proportion Layers'!$A$8:$A$324,0))</f>
        <v>1629375</v>
      </c>
      <c r="H36" s="120">
        <f t="shared" si="1"/>
        <v>4319847</v>
      </c>
      <c r="I36" s="120"/>
      <c r="J36" s="120">
        <f>ROUND(VLOOKUP(A36,'Contribution Allocation_Report'!$A$9:$D$311,4,FALSE)*'OPEB Amounts_Report'!$J$326,0)</f>
        <v>1635718</v>
      </c>
      <c r="K36" s="120">
        <f>ROUND(VLOOKUP(A36,'Contribution Allocation_Report'!$A$9:$D$311,4,FALSE)*'OPEB Amounts_Report'!$K$326,0)</f>
        <v>8180603</v>
      </c>
      <c r="L36" s="120">
        <f>INDEX('Change in Proportion Layers'!$AD$8:$AD$324,MATCH('OPEB Amounts_Report'!A36,'Change in Proportion Layers'!$A$8:$A$324,0))</f>
        <v>1837932</v>
      </c>
      <c r="M36" s="120">
        <f t="shared" si="0"/>
        <v>11654253</v>
      </c>
      <c r="N36" s="121"/>
      <c r="O36" s="121">
        <f>ROUND(VLOOKUP(A36,'Contribution Allocation_Report'!$A$9:$D$311,4,FALSE)*'OPEB Amounts_Report'!$O$326,0)</f>
        <v>-2321609</v>
      </c>
      <c r="P36" s="121">
        <f>INDEX('Change in Proportion Layers'!$AA$8:$AA$324,MATCH('OPEB Amounts_Report'!A36,'Change in Proportion Layers'!$A$8:$A$324,0))</f>
        <v>-117289</v>
      </c>
      <c r="Q36" s="121">
        <f t="shared" si="2"/>
        <v>-2438898</v>
      </c>
    </row>
    <row r="37" spans="1:17" ht="12" customHeight="1">
      <c r="A37" s="166">
        <v>3010</v>
      </c>
      <c r="B37" s="167" t="s">
        <v>26</v>
      </c>
      <c r="C37" s="122">
        <f>ROUND(VLOOKUP(A37,'Contribution Allocation_Report'!$A$9:$D$311,4,FALSE)*'OPEB Amounts_Report'!$C$326,0)</f>
        <v>65304075</v>
      </c>
      <c r="D37" s="122">
        <f>ROUND(VLOOKUP(A37,'Contribution Allocation_Report'!$A$9:$D$311,4,FALSE)*'OPEB Amounts_Report'!$D$326,0)</f>
        <v>1086199</v>
      </c>
      <c r="E37" s="122">
        <f>ROUND(VLOOKUP(A37,'Contribution Allocation_Report'!$A$9:$D$311,4,FALSE)*'OPEB Amounts_Report'!$E$326,0)</f>
        <v>900482</v>
      </c>
      <c r="F37" s="122">
        <f>ROUND(VLOOKUP(A37,'Contribution Allocation_Report'!$A$9:$D$311,4,FALSE)*'OPEB Amounts_Report'!$F$326,0)</f>
        <v>13934341</v>
      </c>
      <c r="G37" s="122">
        <f>INDEX('Change in Proportion Layers'!$AC$8:$AC$324,MATCH('OPEB Amounts_Report'!A37,'Change in Proportion Layers'!$A$8:$A$324,0))</f>
        <v>2414873</v>
      </c>
      <c r="H37" s="122">
        <f t="shared" si="1"/>
        <v>18335895</v>
      </c>
      <c r="I37" s="122"/>
      <c r="J37" s="122">
        <f>ROUND(VLOOKUP(A37,'Contribution Allocation_Report'!$A$9:$D$311,4,FALSE)*'OPEB Amounts_Report'!$J$326,0)</f>
        <v>9679451</v>
      </c>
      <c r="K37" s="122">
        <f>ROUND(VLOOKUP(A37,'Contribution Allocation_Report'!$A$9:$D$311,4,FALSE)*'OPEB Amounts_Report'!$K$326,0)</f>
        <v>48409175</v>
      </c>
      <c r="L37" s="131">
        <f>INDEX('Change in Proportion Layers'!$AD$8:$AD$324,MATCH('OPEB Amounts_Report'!A37,'Change in Proportion Layers'!$A$8:$A$324,0))</f>
        <v>5446370</v>
      </c>
      <c r="M37" s="122">
        <f t="shared" si="0"/>
        <v>63534996</v>
      </c>
      <c r="N37" s="123"/>
      <c r="O37" s="123">
        <f>ROUND(VLOOKUP(A37,'Contribution Allocation_Report'!$A$9:$D$311,4,FALSE)*'OPEB Amounts_Report'!$O$326,0)</f>
        <v>-13738249</v>
      </c>
      <c r="P37" s="123">
        <f>INDEX('Change in Proportion Layers'!$AA$8:$AA$324,MATCH('OPEB Amounts_Report'!A37,'Change in Proportion Layers'!$A$8:$A$324,0))</f>
        <v>-313305</v>
      </c>
      <c r="Q37" s="123">
        <f t="shared" si="2"/>
        <v>-14051554</v>
      </c>
    </row>
    <row r="38" spans="1:17" ht="12" customHeight="1">
      <c r="A38" s="164">
        <v>29086</v>
      </c>
      <c r="B38" s="168" t="s">
        <v>27</v>
      </c>
      <c r="C38" s="120">
        <f>ROUND(VLOOKUP(A38,'Contribution Allocation_Report'!$A$9:$D$311,4,FALSE)*'OPEB Amounts_Report'!$C$326,0)</f>
        <v>9944512</v>
      </c>
      <c r="D38" s="120">
        <f>ROUND(VLOOKUP(A38,'Contribution Allocation_Report'!$A$9:$D$311,4,FALSE)*'OPEB Amounts_Report'!$D$326,0)</f>
        <v>165406</v>
      </c>
      <c r="E38" s="120">
        <f>ROUND(VLOOKUP(A38,'Contribution Allocation_Report'!$A$9:$D$311,4,FALSE)*'OPEB Amounts_Report'!$E$326,0)</f>
        <v>137125</v>
      </c>
      <c r="F38" s="120">
        <f>ROUND(VLOOKUP(A38,'Contribution Allocation_Report'!$A$9:$D$311,4,FALSE)*'OPEB Amounts_Report'!$F$326,0)</f>
        <v>2121923</v>
      </c>
      <c r="G38" s="120">
        <f>INDEX('Change in Proportion Layers'!$AC$8:$AC$324,MATCH('OPEB Amounts_Report'!A38,'Change in Proportion Layers'!$A$8:$A$324,0))</f>
        <v>387167</v>
      </c>
      <c r="H38" s="120">
        <f t="shared" si="1"/>
        <v>2811621</v>
      </c>
      <c r="I38" s="120"/>
      <c r="J38" s="120">
        <f>ROUND(VLOOKUP(A38,'Contribution Allocation_Report'!$A$9:$D$311,4,FALSE)*'OPEB Amounts_Report'!$J$326,0)</f>
        <v>1473988</v>
      </c>
      <c r="K38" s="120">
        <f>ROUND(VLOOKUP(A38,'Contribution Allocation_Report'!$A$9:$D$311,4,FALSE)*'OPEB Amounts_Report'!$K$326,0)</f>
        <v>7371754</v>
      </c>
      <c r="L38" s="130">
        <f>INDEX('Change in Proportion Layers'!$AD$8:$AD$324,MATCH('OPEB Amounts_Report'!A38,'Change in Proportion Layers'!$A$8:$A$324,0))</f>
        <v>952725</v>
      </c>
      <c r="M38" s="120">
        <f t="shared" si="0"/>
        <v>9798467</v>
      </c>
      <c r="N38" s="121"/>
      <c r="O38" s="121">
        <f>ROUND(VLOOKUP(A38,'Contribution Allocation_Report'!$A$9:$D$311,4,FALSE)*'OPEB Amounts_Report'!$O$326,0)</f>
        <v>-2092062</v>
      </c>
      <c r="P38" s="121">
        <f>INDEX('Change in Proportion Layers'!$AA$8:$AA$324,MATCH('OPEB Amounts_Report'!A38,'Change in Proportion Layers'!$A$8:$A$324,0))</f>
        <v>-210118</v>
      </c>
      <c r="Q38" s="121">
        <f t="shared" si="2"/>
        <v>-2302180</v>
      </c>
    </row>
    <row r="39" spans="1:17" ht="12" customHeight="1">
      <c r="A39" s="166">
        <v>16051</v>
      </c>
      <c r="B39" s="167" t="s">
        <v>28</v>
      </c>
      <c r="C39" s="122">
        <f>ROUND(VLOOKUP(A39,'Contribution Allocation_Report'!$A$9:$D$311,4,FALSE)*'OPEB Amounts_Report'!$C$326,0)</f>
        <v>8464668</v>
      </c>
      <c r="D39" s="122">
        <f>ROUND(VLOOKUP(A39,'Contribution Allocation_Report'!$A$9:$D$311,4,FALSE)*'OPEB Amounts_Report'!$D$326,0)</f>
        <v>140792</v>
      </c>
      <c r="E39" s="122">
        <f>ROUND(VLOOKUP(A39,'Contribution Allocation_Report'!$A$9:$D$311,4,FALSE)*'OPEB Amounts_Report'!$E$326,0)</f>
        <v>116720</v>
      </c>
      <c r="F39" s="122">
        <f>ROUND(VLOOKUP(A39,'Contribution Allocation_Report'!$A$9:$D$311,4,FALSE)*'OPEB Amounts_Report'!$F$326,0)</f>
        <v>1806159</v>
      </c>
      <c r="G39" s="122">
        <f>INDEX('Change in Proportion Layers'!$AC$8:$AC$324,MATCH('OPEB Amounts_Report'!A39,'Change in Proportion Layers'!$A$8:$A$324,0))</f>
        <v>303526</v>
      </c>
      <c r="H39" s="122">
        <f t="shared" si="1"/>
        <v>2367197</v>
      </c>
      <c r="I39" s="122"/>
      <c r="J39" s="122">
        <f>ROUND(VLOOKUP(A39,'Contribution Allocation_Report'!$A$9:$D$311,4,FALSE)*'OPEB Amounts_Report'!$J$326,0)</f>
        <v>1254644</v>
      </c>
      <c r="K39" s="122">
        <f>ROUND(VLOOKUP(A39,'Contribution Allocation_Report'!$A$9:$D$311,4,FALSE)*'OPEB Amounts_Report'!$K$326,0)</f>
        <v>6274763</v>
      </c>
      <c r="L39" s="122">
        <f>INDEX('Change in Proportion Layers'!$AD$8:$AD$324,MATCH('OPEB Amounts_Report'!A39,'Change in Proportion Layers'!$A$8:$A$324,0))</f>
        <v>459023</v>
      </c>
      <c r="M39" s="122">
        <f t="shared" si="0"/>
        <v>7988430</v>
      </c>
      <c r="N39" s="123"/>
      <c r="O39" s="123">
        <f>ROUND(VLOOKUP(A39,'Contribution Allocation_Report'!$A$9:$D$311,4,FALSE)*'OPEB Amounts_Report'!$O$326,0)</f>
        <v>-1780742</v>
      </c>
      <c r="P39" s="123">
        <f>INDEX('Change in Proportion Layers'!$AA$8:$AA$324,MATCH('OPEB Amounts_Report'!A39,'Change in Proportion Layers'!$A$8:$A$324,0))</f>
        <v>34765</v>
      </c>
      <c r="Q39" s="123">
        <f t="shared" si="2"/>
        <v>-1745977</v>
      </c>
    </row>
    <row r="40" spans="1:17" ht="12" customHeight="1">
      <c r="A40" s="164">
        <v>26077</v>
      </c>
      <c r="B40" s="168" t="s">
        <v>29</v>
      </c>
      <c r="C40" s="120">
        <f>ROUND(VLOOKUP(A40,'Contribution Allocation_Report'!$A$9:$D$311,4,FALSE)*'OPEB Amounts_Report'!$C$326,0)</f>
        <v>1676450</v>
      </c>
      <c r="D40" s="120">
        <f>ROUND(VLOOKUP(A40,'Contribution Allocation_Report'!$A$9:$D$311,4,FALSE)*'OPEB Amounts_Report'!$D$326,0)</f>
        <v>27884</v>
      </c>
      <c r="E40" s="120">
        <f>ROUND(VLOOKUP(A40,'Contribution Allocation_Report'!$A$9:$D$311,4,FALSE)*'OPEB Amounts_Report'!$E$326,0)</f>
        <v>23117</v>
      </c>
      <c r="F40" s="120">
        <f>ROUND(VLOOKUP(A40,'Contribution Allocation_Report'!$A$9:$D$311,4,FALSE)*'OPEB Amounts_Report'!$F$326,0)</f>
        <v>357715</v>
      </c>
      <c r="G40" s="120">
        <f>INDEX('Change in Proportion Layers'!$AC$8:$AC$324,MATCH('OPEB Amounts_Report'!A40,'Change in Proportion Layers'!$A$8:$A$324,0))</f>
        <v>104182</v>
      </c>
      <c r="H40" s="120">
        <f t="shared" si="1"/>
        <v>512898</v>
      </c>
      <c r="I40" s="120"/>
      <c r="J40" s="120">
        <f>ROUND(VLOOKUP(A40,'Contribution Allocation_Report'!$A$9:$D$311,4,FALSE)*'OPEB Amounts_Report'!$J$326,0)</f>
        <v>248485</v>
      </c>
      <c r="K40" s="120">
        <f>ROUND(VLOOKUP(A40,'Contribution Allocation_Report'!$A$9:$D$311,4,FALSE)*'OPEB Amounts_Report'!$K$326,0)</f>
        <v>1242733</v>
      </c>
      <c r="L40" s="120">
        <f>INDEX('Change in Proportion Layers'!$AD$8:$AD$324,MATCH('OPEB Amounts_Report'!A40,'Change in Proportion Layers'!$A$8:$A$324,0))</f>
        <v>51252</v>
      </c>
      <c r="M40" s="120">
        <f t="shared" si="0"/>
        <v>1542470</v>
      </c>
      <c r="N40" s="121"/>
      <c r="O40" s="121">
        <f>ROUND(VLOOKUP(A40,'Contribution Allocation_Report'!$A$9:$D$311,4,FALSE)*'OPEB Amounts_Report'!$O$326,0)</f>
        <v>-352681</v>
      </c>
      <c r="P40" s="121">
        <f>INDEX('Change in Proportion Layers'!$AA$8:$AA$324,MATCH('OPEB Amounts_Report'!A40,'Change in Proportion Layers'!$A$8:$A$324,0))</f>
        <v>36197</v>
      </c>
      <c r="Q40" s="121">
        <f t="shared" si="2"/>
        <v>-316484</v>
      </c>
    </row>
    <row r="41" spans="1:17" ht="12" customHeight="1">
      <c r="A41" s="166">
        <v>3005</v>
      </c>
      <c r="B41" s="167" t="s">
        <v>30</v>
      </c>
      <c r="C41" s="122">
        <f>ROUND(VLOOKUP(A41,'Contribution Allocation_Report'!$A$9:$D$311,4,FALSE)*'OPEB Amounts_Report'!$C$326,0)</f>
        <v>19621421</v>
      </c>
      <c r="D41" s="122">
        <f>ROUND(VLOOKUP(A41,'Contribution Allocation_Report'!$A$9:$D$311,4,FALSE)*'OPEB Amounts_Report'!$D$326,0)</f>
        <v>326362</v>
      </c>
      <c r="E41" s="122">
        <f>ROUND(VLOOKUP(A41,'Contribution Allocation_Report'!$A$9:$D$311,4,FALSE)*'OPEB Amounts_Report'!$E$326,0)</f>
        <v>270561</v>
      </c>
      <c r="F41" s="122">
        <f>ROUND(VLOOKUP(A41,'Contribution Allocation_Report'!$A$9:$D$311,4,FALSE)*'OPEB Amounts_Report'!$F$326,0)</f>
        <v>4186746</v>
      </c>
      <c r="G41" s="122">
        <f>INDEX('Change in Proportion Layers'!$AC$8:$AC$324,MATCH('OPEB Amounts_Report'!A41,'Change in Proportion Layers'!$A$8:$A$324,0))</f>
        <v>799635</v>
      </c>
      <c r="H41" s="122">
        <f t="shared" si="1"/>
        <v>5583304</v>
      </c>
      <c r="I41" s="122"/>
      <c r="J41" s="122">
        <f>ROUND(VLOOKUP(A41,'Contribution Allocation_Report'!$A$9:$D$311,4,FALSE)*'OPEB Amounts_Report'!$J$326,0)</f>
        <v>2908311</v>
      </c>
      <c r="K41" s="122">
        <f>ROUND(VLOOKUP(A41,'Contribution Allocation_Report'!$A$9:$D$311,4,FALSE)*'OPEB Amounts_Report'!$K$326,0)</f>
        <v>14545138</v>
      </c>
      <c r="L41" s="122">
        <f>INDEX('Change in Proportion Layers'!$AD$8:$AD$324,MATCH('OPEB Amounts_Report'!A41,'Change in Proportion Layers'!$A$8:$A$324,0))</f>
        <v>2118528</v>
      </c>
      <c r="M41" s="122">
        <f t="shared" si="0"/>
        <v>19571977</v>
      </c>
      <c r="N41" s="123"/>
      <c r="O41" s="123">
        <f>ROUND(VLOOKUP(A41,'Contribution Allocation_Report'!$A$9:$D$311,4,FALSE)*'OPEB Amounts_Report'!$O$326,0)</f>
        <v>-4127828</v>
      </c>
      <c r="P41" s="123">
        <f>INDEX('Change in Proportion Layers'!$AA$8:$AA$324,MATCH('OPEB Amounts_Report'!A41,'Change in Proportion Layers'!$A$8:$A$324,0))</f>
        <v>-469388</v>
      </c>
      <c r="Q41" s="123">
        <f t="shared" si="2"/>
        <v>-4597216</v>
      </c>
    </row>
    <row r="42" spans="1:17" ht="12" customHeight="1">
      <c r="A42" s="164">
        <v>26078</v>
      </c>
      <c r="B42" s="168" t="s">
        <v>31</v>
      </c>
      <c r="C42" s="120">
        <f>ROUND(VLOOKUP(A42,'Contribution Allocation_Report'!$A$9:$D$311,4,FALSE)*'OPEB Amounts_Report'!$C$326,0)</f>
        <v>680519</v>
      </c>
      <c r="D42" s="120">
        <f>ROUND(VLOOKUP(A42,'Contribution Allocation_Report'!$A$9:$D$311,4,FALSE)*'OPEB Amounts_Report'!$D$326,0)</f>
        <v>11319</v>
      </c>
      <c r="E42" s="120">
        <f>ROUND(VLOOKUP(A42,'Contribution Allocation_Report'!$A$9:$D$311,4,FALSE)*'OPEB Amounts_Report'!$E$326,0)</f>
        <v>9384</v>
      </c>
      <c r="F42" s="120">
        <f>ROUND(VLOOKUP(A42,'Contribution Allocation_Report'!$A$9:$D$311,4,FALSE)*'OPEB Amounts_Report'!$F$326,0)</f>
        <v>145207</v>
      </c>
      <c r="G42" s="120">
        <f>INDEX('Change in Proportion Layers'!$AC$8:$AC$324,MATCH('OPEB Amounts_Report'!A42,'Change in Proportion Layers'!$A$8:$A$324,0))</f>
        <v>55645</v>
      </c>
      <c r="H42" s="120">
        <f t="shared" si="1"/>
        <v>221555</v>
      </c>
      <c r="I42" s="120"/>
      <c r="J42" s="120">
        <f>ROUND(VLOOKUP(A42,'Contribution Allocation_Report'!$A$9:$D$311,4,FALSE)*'OPEB Amounts_Report'!$J$326,0)</f>
        <v>100867</v>
      </c>
      <c r="K42" s="120">
        <f>ROUND(VLOOKUP(A42,'Contribution Allocation_Report'!$A$9:$D$311,4,FALSE)*'OPEB Amounts_Report'!$K$326,0)</f>
        <v>504461</v>
      </c>
      <c r="L42" s="120">
        <f>INDEX('Change in Proportion Layers'!$AD$8:$AD$324,MATCH('OPEB Amounts_Report'!A42,'Change in Proportion Layers'!$A$8:$A$324,0))</f>
        <v>105116</v>
      </c>
      <c r="M42" s="120">
        <f t="shared" si="0"/>
        <v>710444</v>
      </c>
      <c r="N42" s="121"/>
      <c r="O42" s="121">
        <f>ROUND(VLOOKUP(A42,'Contribution Allocation_Report'!$A$9:$D$311,4,FALSE)*'OPEB Amounts_Report'!$O$326,0)</f>
        <v>-143163</v>
      </c>
      <c r="P42" s="121">
        <f>INDEX('Change in Proportion Layers'!$AA$8:$AA$324,MATCH('OPEB Amounts_Report'!A42,'Change in Proportion Layers'!$A$8:$A$324,0))</f>
        <v>-1885</v>
      </c>
      <c r="Q42" s="121">
        <f t="shared" si="2"/>
        <v>-145048</v>
      </c>
    </row>
    <row r="43" spans="1:17" ht="12" customHeight="1">
      <c r="A43" s="166">
        <v>16053</v>
      </c>
      <c r="B43" s="167" t="s">
        <v>32</v>
      </c>
      <c r="C43" s="122">
        <f>ROUND(VLOOKUP(A43,'Contribution Allocation_Report'!$A$9:$D$311,4,FALSE)*'OPEB Amounts_Report'!$C$326,0)</f>
        <v>20968852</v>
      </c>
      <c r="D43" s="122">
        <f>ROUND(VLOOKUP(A43,'Contribution Allocation_Report'!$A$9:$D$311,4,FALSE)*'OPEB Amounts_Report'!$D$326,0)</f>
        <v>348774</v>
      </c>
      <c r="E43" s="122">
        <f>ROUND(VLOOKUP(A43,'Contribution Allocation_Report'!$A$9:$D$311,4,FALSE)*'OPEB Amounts_Report'!$E$326,0)</f>
        <v>289141</v>
      </c>
      <c r="F43" s="122">
        <f>ROUND(VLOOKUP(A43,'Contribution Allocation_Report'!$A$9:$D$311,4,FALSE)*'OPEB Amounts_Report'!$F$326,0)</f>
        <v>4474256</v>
      </c>
      <c r="G43" s="122">
        <f>INDEX('Change in Proportion Layers'!$AC$8:$AC$324,MATCH('OPEB Amounts_Report'!A43,'Change in Proportion Layers'!$A$8:$A$324,0))</f>
        <v>1354742</v>
      </c>
      <c r="H43" s="122">
        <f t="shared" si="1"/>
        <v>6466913</v>
      </c>
      <c r="I43" s="122"/>
      <c r="J43" s="122">
        <f>ROUND(VLOOKUP(A43,'Contribution Allocation_Report'!$A$9:$D$311,4,FALSE)*'OPEB Amounts_Report'!$J$326,0)</f>
        <v>3108029</v>
      </c>
      <c r="K43" s="122">
        <f>ROUND(VLOOKUP(A43,'Contribution Allocation_Report'!$A$9:$D$311,4,FALSE)*'OPEB Amounts_Report'!$K$326,0)</f>
        <v>15543974</v>
      </c>
      <c r="L43" s="131">
        <f>INDEX('Change in Proportion Layers'!$AD$8:$AD$324,MATCH('OPEB Amounts_Report'!A43,'Change in Proportion Layers'!$A$8:$A$324,0))</f>
        <v>1379923</v>
      </c>
      <c r="M43" s="122">
        <f t="shared" si="0"/>
        <v>20031926</v>
      </c>
      <c r="N43" s="123"/>
      <c r="O43" s="123">
        <f>ROUND(VLOOKUP(A43,'Contribution Allocation_Report'!$A$9:$D$311,4,FALSE)*'OPEB Amounts_Report'!$O$326,0)</f>
        <v>-4411291</v>
      </c>
      <c r="P43" s="123">
        <f>INDEX('Change in Proportion Layers'!$AA$8:$AA$324,MATCH('OPEB Amounts_Report'!A43,'Change in Proportion Layers'!$A$8:$A$324,0))</f>
        <v>-219463</v>
      </c>
      <c r="Q43" s="123">
        <f t="shared" si="2"/>
        <v>-4630754</v>
      </c>
    </row>
    <row r="44" spans="1:17" ht="12" customHeight="1">
      <c r="A44" s="164">
        <v>2123</v>
      </c>
      <c r="B44" s="168" t="s">
        <v>33</v>
      </c>
      <c r="C44" s="120">
        <f>ROUND(VLOOKUP(A44,'Contribution Allocation_Report'!$A$9:$D$311,4,FALSE)*'OPEB Amounts_Report'!$C$326,0)</f>
        <v>40375759</v>
      </c>
      <c r="D44" s="120">
        <f>ROUND(VLOOKUP(A44,'Contribution Allocation_Report'!$A$9:$D$311,4,FALSE)*'OPEB Amounts_Report'!$D$326,0)</f>
        <v>671568</v>
      </c>
      <c r="E44" s="120">
        <f>ROUND(VLOOKUP(A44,'Contribution Allocation_Report'!$A$9:$D$311,4,FALSE)*'OPEB Amounts_Report'!$E$326,0)</f>
        <v>556744</v>
      </c>
      <c r="F44" s="120">
        <f>ROUND(VLOOKUP(A44,'Contribution Allocation_Report'!$A$9:$D$311,4,FALSE)*'OPEB Amounts_Report'!$F$326,0)</f>
        <v>8615230</v>
      </c>
      <c r="G44" s="120">
        <f>INDEX('Change in Proportion Layers'!$AC$8:$AC$324,MATCH('OPEB Amounts_Report'!A44,'Change in Proportion Layers'!$A$8:$A$324,0))</f>
        <v>6045528</v>
      </c>
      <c r="H44" s="120">
        <f t="shared" si="1"/>
        <v>15889070</v>
      </c>
      <c r="I44" s="120"/>
      <c r="J44" s="120">
        <f>ROUND(VLOOKUP(A44,'Contribution Allocation_Report'!$A$9:$D$311,4,FALSE)*'OPEB Amounts_Report'!$J$326,0)</f>
        <v>5984545</v>
      </c>
      <c r="K44" s="120">
        <f>ROUND(VLOOKUP(A44,'Contribution Allocation_Report'!$A$9:$D$311,4,FALSE)*'OPEB Amounts_Report'!$K$326,0)</f>
        <v>29930095</v>
      </c>
      <c r="L44" s="130">
        <f>INDEX('Change in Proportion Layers'!$AD$8:$AD$324,MATCH('OPEB Amounts_Report'!A44,'Change in Proportion Layers'!$A$8:$A$324,0))</f>
        <v>4359752</v>
      </c>
      <c r="M44" s="120">
        <f t="shared" si="0"/>
        <v>40274392</v>
      </c>
      <c r="N44" s="121"/>
      <c r="O44" s="121">
        <f>ROUND(VLOOKUP(A44,'Contribution Allocation_Report'!$A$9:$D$311,4,FALSE)*'OPEB Amounts_Report'!$O$326,0)</f>
        <v>-8493991</v>
      </c>
      <c r="P44" s="121">
        <f>INDEX('Change in Proportion Layers'!$AA$8:$AA$324,MATCH('OPEB Amounts_Report'!A44,'Change in Proportion Layers'!$A$8:$A$324,0))</f>
        <v>33180</v>
      </c>
      <c r="Q44" s="121">
        <f t="shared" si="2"/>
        <v>-8460811</v>
      </c>
    </row>
    <row r="45" spans="1:17" ht="12" customHeight="1">
      <c r="A45" s="166">
        <v>2150</v>
      </c>
      <c r="B45" s="167" t="s">
        <v>34</v>
      </c>
      <c r="C45" s="122">
        <f>ROUND(VLOOKUP(A45,'Contribution Allocation_Report'!$A$9:$D$311,4,FALSE)*'OPEB Amounts_Report'!$C$326,0)</f>
        <v>1795278</v>
      </c>
      <c r="D45" s="122">
        <f>ROUND(VLOOKUP(A45,'Contribution Allocation_Report'!$A$9:$D$311,4,FALSE)*'OPEB Amounts_Report'!$D$326,0)</f>
        <v>29861</v>
      </c>
      <c r="E45" s="122">
        <f>ROUND(VLOOKUP(A45,'Contribution Allocation_Report'!$A$9:$D$311,4,FALSE)*'OPEB Amounts_Report'!$E$326,0)</f>
        <v>24755</v>
      </c>
      <c r="F45" s="122">
        <f>ROUND(VLOOKUP(A45,'Contribution Allocation_Report'!$A$9:$D$311,4,FALSE)*'OPEB Amounts_Report'!$F$326,0)</f>
        <v>383070</v>
      </c>
      <c r="G45" s="122">
        <f>INDEX('Change in Proportion Layers'!$AC$8:$AC$324,MATCH('OPEB Amounts_Report'!A45,'Change in Proportion Layers'!$A$8:$A$324,0))</f>
        <v>779236</v>
      </c>
      <c r="H45" s="122">
        <f t="shared" si="1"/>
        <v>1216922</v>
      </c>
      <c r="I45" s="122"/>
      <c r="J45" s="122">
        <f>ROUND(VLOOKUP(A45,'Contribution Allocation_Report'!$A$9:$D$311,4,FALSE)*'OPEB Amounts_Report'!$J$326,0)</f>
        <v>266098</v>
      </c>
      <c r="K45" s="122">
        <f>ROUND(VLOOKUP(A45,'Contribution Allocation_Report'!$A$9:$D$311,4,FALSE)*'OPEB Amounts_Report'!$K$326,0)</f>
        <v>1330819</v>
      </c>
      <c r="L45" s="122">
        <f>INDEX('Change in Proportion Layers'!$AD$8:$AD$324,MATCH('OPEB Amounts_Report'!A45,'Change in Proportion Layers'!$A$8:$A$324,0))</f>
        <v>96493</v>
      </c>
      <c r="M45" s="122">
        <f t="shared" si="0"/>
        <v>1693410</v>
      </c>
      <c r="N45" s="123"/>
      <c r="O45" s="123">
        <f>ROUND(VLOOKUP(A45,'Contribution Allocation_Report'!$A$9:$D$311,4,FALSE)*'OPEB Amounts_Report'!$O$326,0)</f>
        <v>-377679</v>
      </c>
      <c r="P45" s="123">
        <f>INDEX('Change in Proportion Layers'!$AA$8:$AA$324,MATCH('OPEB Amounts_Report'!A45,'Change in Proportion Layers'!$A$8:$A$324,0))</f>
        <v>199052</v>
      </c>
      <c r="Q45" s="123">
        <f t="shared" si="2"/>
        <v>-178627</v>
      </c>
    </row>
    <row r="46" spans="1:17" ht="12" customHeight="1">
      <c r="A46" s="164">
        <v>2336</v>
      </c>
      <c r="B46" s="168" t="s">
        <v>35</v>
      </c>
      <c r="C46" s="120">
        <f>ROUND(VLOOKUP(A46,'Contribution Allocation_Report'!$A$9:$D$311,4,FALSE)*'OPEB Amounts_Report'!$C$326,0)</f>
        <v>535272</v>
      </c>
      <c r="D46" s="120">
        <f>ROUND(VLOOKUP(A46,'Contribution Allocation_Report'!$A$9:$D$311,4,FALSE)*'OPEB Amounts_Report'!$D$326,0)</f>
        <v>8903</v>
      </c>
      <c r="E46" s="120">
        <f>ROUND(VLOOKUP(A46,'Contribution Allocation_Report'!$A$9:$D$311,4,FALSE)*'OPEB Amounts_Report'!$E$326,0)</f>
        <v>7381</v>
      </c>
      <c r="F46" s="120">
        <f>ROUND(VLOOKUP(A46,'Contribution Allocation_Report'!$A$9:$D$311,4,FALSE)*'OPEB Amounts_Report'!$F$326,0)</f>
        <v>114214</v>
      </c>
      <c r="G46" s="120">
        <f>INDEX('Change in Proportion Layers'!$AC$8:$AC$324,MATCH('OPEB Amounts_Report'!A46,'Change in Proportion Layers'!$A$8:$A$324,0))</f>
        <v>67083</v>
      </c>
      <c r="H46" s="120">
        <f t="shared" si="1"/>
        <v>197581</v>
      </c>
      <c r="I46" s="120"/>
      <c r="J46" s="120">
        <f>ROUND(VLOOKUP(A46,'Contribution Allocation_Report'!$A$9:$D$311,4,FALSE)*'OPEB Amounts_Report'!$J$326,0)</f>
        <v>79339</v>
      </c>
      <c r="K46" s="120">
        <f>ROUND(VLOOKUP(A46,'Contribution Allocation_Report'!$A$9:$D$311,4,FALSE)*'OPEB Amounts_Report'!$K$326,0)</f>
        <v>396791</v>
      </c>
      <c r="L46" s="120">
        <f>INDEX('Change in Proportion Layers'!$AD$8:$AD$324,MATCH('OPEB Amounts_Report'!A46,'Change in Proportion Layers'!$A$8:$A$324,0))</f>
        <v>70279</v>
      </c>
      <c r="M46" s="120">
        <f t="shared" si="0"/>
        <v>546409</v>
      </c>
      <c r="N46" s="121"/>
      <c r="O46" s="121">
        <f>ROUND(VLOOKUP(A46,'Contribution Allocation_Report'!$A$9:$D$311,4,FALSE)*'OPEB Amounts_Report'!$O$326,0)</f>
        <v>-112607</v>
      </c>
      <c r="P46" s="121">
        <f>INDEX('Change in Proportion Layers'!$AA$8:$AA$324,MATCH('OPEB Amounts_Report'!A46,'Change in Proportion Layers'!$A$8:$A$324,0))</f>
        <v>18313</v>
      </c>
      <c r="Q46" s="121">
        <f t="shared" si="2"/>
        <v>-94294</v>
      </c>
    </row>
    <row r="47" spans="1:17" ht="12" customHeight="1">
      <c r="A47" s="166">
        <v>17126</v>
      </c>
      <c r="B47" s="167" t="s">
        <v>36</v>
      </c>
      <c r="C47" s="122">
        <f>ROUND(VLOOKUP(A47,'Contribution Allocation_Report'!$A$9:$D$311,4,FALSE)*'OPEB Amounts_Report'!$C$326,0)</f>
        <v>1575507</v>
      </c>
      <c r="D47" s="122">
        <f>ROUND(VLOOKUP(A47,'Contribution Allocation_Report'!$A$9:$D$311,4,FALSE)*'OPEB Amounts_Report'!$D$326,0)</f>
        <v>26205</v>
      </c>
      <c r="E47" s="122">
        <f>ROUND(VLOOKUP(A47,'Contribution Allocation_Report'!$A$9:$D$311,4,FALSE)*'OPEB Amounts_Report'!$E$326,0)</f>
        <v>21725</v>
      </c>
      <c r="F47" s="122">
        <f>ROUND(VLOOKUP(A47,'Contribution Allocation_Report'!$A$9:$D$311,4,FALSE)*'OPEB Amounts_Report'!$F$326,0)</f>
        <v>336176</v>
      </c>
      <c r="G47" s="122">
        <f>INDEX('Change in Proportion Layers'!$AC$8:$AC$324,MATCH('OPEB Amounts_Report'!A47,'Change in Proportion Layers'!$A$8:$A$324,0))</f>
        <v>76645</v>
      </c>
      <c r="H47" s="122">
        <f t="shared" si="1"/>
        <v>460751</v>
      </c>
      <c r="I47" s="122"/>
      <c r="J47" s="122">
        <f>ROUND(VLOOKUP(A47,'Contribution Allocation_Report'!$A$9:$D$311,4,FALSE)*'OPEB Amounts_Report'!$J$326,0)</f>
        <v>233524</v>
      </c>
      <c r="K47" s="122">
        <f>ROUND(VLOOKUP(A47,'Contribution Allocation_Report'!$A$9:$D$311,4,FALSE)*'OPEB Amounts_Report'!$K$326,0)</f>
        <v>1167906</v>
      </c>
      <c r="L47" s="131">
        <f>INDEX('Change in Proportion Layers'!$AD$8:$AD$324,MATCH('OPEB Amounts_Report'!A47,'Change in Proportion Layers'!$A$8:$A$324,0))</f>
        <v>173243</v>
      </c>
      <c r="M47" s="122">
        <f t="shared" si="0"/>
        <v>1574673</v>
      </c>
      <c r="N47" s="123"/>
      <c r="O47" s="123">
        <f>ROUND(VLOOKUP(A47,'Contribution Allocation_Report'!$A$9:$D$311,4,FALSE)*'OPEB Amounts_Report'!$O$326,0)</f>
        <v>-331445</v>
      </c>
      <c r="P47" s="123">
        <f>INDEX('Change in Proportion Layers'!$AA$8:$AA$324,MATCH('OPEB Amounts_Report'!A47,'Change in Proportion Layers'!$A$8:$A$324,0))</f>
        <v>-58462</v>
      </c>
      <c r="Q47" s="123">
        <f t="shared" si="2"/>
        <v>-389907</v>
      </c>
    </row>
    <row r="48" spans="1:17" ht="12" customHeight="1">
      <c r="A48" s="164">
        <v>3030</v>
      </c>
      <c r="B48" s="168" t="s">
        <v>37</v>
      </c>
      <c r="C48" s="120">
        <f>ROUND(VLOOKUP(A48,'Contribution Allocation_Report'!$A$9:$D$311,4,FALSE)*'OPEB Amounts_Report'!$C$326,0)</f>
        <v>4489889</v>
      </c>
      <c r="D48" s="120">
        <f>ROUND(VLOOKUP(A48,'Contribution Allocation_Report'!$A$9:$D$311,4,FALSE)*'OPEB Amounts_Report'!$D$326,0)</f>
        <v>74680</v>
      </c>
      <c r="E48" s="120">
        <f>ROUND(VLOOKUP(A48,'Contribution Allocation_Report'!$A$9:$D$311,4,FALSE)*'OPEB Amounts_Report'!$E$326,0)</f>
        <v>61911</v>
      </c>
      <c r="F48" s="120">
        <f>ROUND(VLOOKUP(A48,'Contribution Allocation_Report'!$A$9:$D$311,4,FALSE)*'OPEB Amounts_Report'!$F$326,0)</f>
        <v>958036</v>
      </c>
      <c r="G48" s="120">
        <f>INDEX('Change in Proportion Layers'!$AC$8:$AC$324,MATCH('OPEB Amounts_Report'!A48,'Change in Proportion Layers'!$A$8:$A$324,0))</f>
        <v>0</v>
      </c>
      <c r="H48" s="120">
        <f t="shared" si="1"/>
        <v>1094627</v>
      </c>
      <c r="I48" s="120"/>
      <c r="J48" s="120">
        <f>ROUND(VLOOKUP(A48,'Contribution Allocation_Report'!$A$9:$D$311,4,FALSE)*'OPEB Amounts_Report'!$J$326,0)</f>
        <v>665497</v>
      </c>
      <c r="K48" s="120">
        <f>ROUND(VLOOKUP(A48,'Contribution Allocation_Report'!$A$9:$D$311,4,FALSE)*'OPEB Amounts_Report'!$K$326,0)</f>
        <v>3328304</v>
      </c>
      <c r="L48" s="130">
        <f>INDEX('Change in Proportion Layers'!$AD$8:$AD$324,MATCH('OPEB Amounts_Report'!A48,'Change in Proportion Layers'!$A$8:$A$324,0))</f>
        <v>1310460</v>
      </c>
      <c r="M48" s="120">
        <f t="shared" si="0"/>
        <v>5304261</v>
      </c>
      <c r="N48" s="121"/>
      <c r="O48" s="121">
        <f>ROUND(VLOOKUP(A48,'Contribution Allocation_Report'!$A$9:$D$311,4,FALSE)*'OPEB Amounts_Report'!$O$326,0)</f>
        <v>-944554</v>
      </c>
      <c r="P48" s="121">
        <f>INDEX('Change in Proportion Layers'!$AA$8:$AA$324,MATCH('OPEB Amounts_Report'!A48,'Change in Proportion Layers'!$A$8:$A$324,0))</f>
        <v>-366962</v>
      </c>
      <c r="Q48" s="121">
        <f t="shared" si="2"/>
        <v>-1311516</v>
      </c>
    </row>
    <row r="49" spans="1:17" ht="12" customHeight="1">
      <c r="A49" s="166">
        <v>2353</v>
      </c>
      <c r="B49" s="167" t="s">
        <v>38</v>
      </c>
      <c r="C49" s="122">
        <f>ROUND(VLOOKUP(A49,'Contribution Allocation_Report'!$A$9:$D$311,4,FALSE)*'OPEB Amounts_Report'!$C$326,0)</f>
        <v>1468876</v>
      </c>
      <c r="D49" s="122">
        <f>ROUND(VLOOKUP(A49,'Contribution Allocation_Report'!$A$9:$D$311,4,FALSE)*'OPEB Amounts_Report'!$D$326,0)</f>
        <v>24432</v>
      </c>
      <c r="E49" s="122">
        <f>ROUND(VLOOKUP(A49,'Contribution Allocation_Report'!$A$9:$D$311,4,FALSE)*'OPEB Amounts_Report'!$E$326,0)</f>
        <v>20254</v>
      </c>
      <c r="F49" s="122">
        <f>ROUND(VLOOKUP(A49,'Contribution Allocation_Report'!$A$9:$D$311,4,FALSE)*'OPEB Amounts_Report'!$F$326,0)</f>
        <v>313423</v>
      </c>
      <c r="G49" s="122">
        <f>INDEX('Change in Proportion Layers'!$AC$8:$AC$324,MATCH('OPEB Amounts_Report'!A49,'Change in Proportion Layers'!$A$8:$A$324,0))</f>
        <v>1055030</v>
      </c>
      <c r="H49" s="122">
        <f t="shared" si="1"/>
        <v>1413139</v>
      </c>
      <c r="I49" s="122"/>
      <c r="J49" s="122">
        <f>ROUND(VLOOKUP(A49,'Contribution Allocation_Report'!$A$9:$D$311,4,FALSE)*'OPEB Amounts_Report'!$J$326,0)</f>
        <v>217719</v>
      </c>
      <c r="K49" s="122">
        <f>ROUND(VLOOKUP(A49,'Contribution Allocation_Report'!$A$9:$D$311,4,FALSE)*'OPEB Amounts_Report'!$K$326,0)</f>
        <v>1088861</v>
      </c>
      <c r="L49" s="122">
        <f>INDEX('Change in Proportion Layers'!$AD$8:$AD$324,MATCH('OPEB Amounts_Report'!A49,'Change in Proportion Layers'!$A$8:$A$324,0))</f>
        <v>289950</v>
      </c>
      <c r="M49" s="122">
        <f t="shared" si="0"/>
        <v>1596530</v>
      </c>
      <c r="N49" s="123"/>
      <c r="O49" s="123">
        <f>ROUND(VLOOKUP(A49,'Contribution Allocation_Report'!$A$9:$D$311,4,FALSE)*'OPEB Amounts_Report'!$O$326,0)</f>
        <v>-309013</v>
      </c>
      <c r="P49" s="123">
        <f>INDEX('Change in Proportion Layers'!$AA$8:$AA$324,MATCH('OPEB Amounts_Report'!A49,'Change in Proportion Layers'!$A$8:$A$324,0))</f>
        <v>297993</v>
      </c>
      <c r="Q49" s="123">
        <f t="shared" si="2"/>
        <v>-11020</v>
      </c>
    </row>
    <row r="50" spans="1:17" ht="12" customHeight="1">
      <c r="A50" s="164">
        <v>3040</v>
      </c>
      <c r="B50" s="168" t="s">
        <v>39</v>
      </c>
      <c r="C50" s="120">
        <f>ROUND(VLOOKUP(A50,'Contribution Allocation_Report'!$A$9:$D$311,4,FALSE)*'OPEB Amounts_Report'!$C$326,0)</f>
        <v>1756184</v>
      </c>
      <c r="D50" s="120">
        <f>ROUND(VLOOKUP(A50,'Contribution Allocation_Report'!$A$9:$D$311,4,FALSE)*'OPEB Amounts_Report'!$D$326,0)</f>
        <v>29211</v>
      </c>
      <c r="E50" s="120">
        <f>ROUND(VLOOKUP(A50,'Contribution Allocation_Report'!$A$9:$D$311,4,FALSE)*'OPEB Amounts_Report'!$E$326,0)</f>
        <v>24216</v>
      </c>
      <c r="F50" s="120">
        <f>ROUND(VLOOKUP(A50,'Contribution Allocation_Report'!$A$9:$D$311,4,FALSE)*'OPEB Amounts_Report'!$F$326,0)</f>
        <v>374728</v>
      </c>
      <c r="G50" s="120">
        <f>INDEX('Change in Proportion Layers'!$AC$8:$AC$324,MATCH('OPEB Amounts_Report'!A50,'Change in Proportion Layers'!$A$8:$A$324,0))</f>
        <v>47861</v>
      </c>
      <c r="H50" s="120">
        <f t="shared" si="1"/>
        <v>476016</v>
      </c>
      <c r="I50" s="120"/>
      <c r="J50" s="120">
        <f>ROUND(VLOOKUP(A50,'Contribution Allocation_Report'!$A$9:$D$311,4,FALSE)*'OPEB Amounts_Report'!$J$326,0)</f>
        <v>260304</v>
      </c>
      <c r="K50" s="120">
        <f>ROUND(VLOOKUP(A50,'Contribution Allocation_Report'!$A$9:$D$311,4,FALSE)*'OPEB Amounts_Report'!$K$326,0)</f>
        <v>1301839</v>
      </c>
      <c r="L50" s="120">
        <f>INDEX('Change in Proportion Layers'!$AD$8:$AD$324,MATCH('OPEB Amounts_Report'!A50,'Change in Proportion Layers'!$A$8:$A$324,0))</f>
        <v>533561</v>
      </c>
      <c r="M50" s="120">
        <f t="shared" si="0"/>
        <v>2095704</v>
      </c>
      <c r="N50" s="121"/>
      <c r="O50" s="121">
        <f>ROUND(VLOOKUP(A50,'Contribution Allocation_Report'!$A$9:$D$311,4,FALSE)*'OPEB Amounts_Report'!$O$326,0)</f>
        <v>-369455</v>
      </c>
      <c r="P50" s="121">
        <f>INDEX('Change in Proportion Layers'!$AA$8:$AA$324,MATCH('OPEB Amounts_Report'!A50,'Change in Proportion Layers'!$A$8:$A$324,0))</f>
        <v>-434162</v>
      </c>
      <c r="Q50" s="121">
        <f t="shared" si="2"/>
        <v>-803617</v>
      </c>
    </row>
    <row r="51" spans="1:17" ht="12" customHeight="1">
      <c r="A51" s="166">
        <v>2367</v>
      </c>
      <c r="B51" s="167" t="s">
        <v>40</v>
      </c>
      <c r="C51" s="122">
        <f>ROUND(VLOOKUP(A51,'Contribution Allocation_Report'!$A$9:$D$311,4,FALSE)*'OPEB Amounts_Report'!$C$326,0)</f>
        <v>1246784</v>
      </c>
      <c r="D51" s="122">
        <f>ROUND(VLOOKUP(A51,'Contribution Allocation_Report'!$A$9:$D$311,4,FALSE)*'OPEB Amounts_Report'!$D$326,0)</f>
        <v>20738</v>
      </c>
      <c r="E51" s="122">
        <f>ROUND(VLOOKUP(A51,'Contribution Allocation_Report'!$A$9:$D$311,4,FALSE)*'OPEB Amounts_Report'!$E$326,0)</f>
        <v>17192</v>
      </c>
      <c r="F51" s="122">
        <f>ROUND(VLOOKUP(A51,'Contribution Allocation_Report'!$A$9:$D$311,4,FALSE)*'OPEB Amounts_Report'!$F$326,0)</f>
        <v>266034</v>
      </c>
      <c r="G51" s="122">
        <f>INDEX('Change in Proportion Layers'!$AC$8:$AC$324,MATCH('OPEB Amounts_Report'!A51,'Change in Proportion Layers'!$A$8:$A$324,0))</f>
        <v>303520</v>
      </c>
      <c r="H51" s="122">
        <f t="shared" si="1"/>
        <v>607484</v>
      </c>
      <c r="I51" s="122"/>
      <c r="J51" s="122">
        <f>ROUND(VLOOKUP(A51,'Contribution Allocation_Report'!$A$9:$D$311,4,FALSE)*'OPEB Amounts_Report'!$J$326,0)</f>
        <v>184800</v>
      </c>
      <c r="K51" s="122">
        <f>ROUND(VLOOKUP(A51,'Contribution Allocation_Report'!$A$9:$D$311,4,FALSE)*'OPEB Amounts_Report'!$K$326,0)</f>
        <v>924227</v>
      </c>
      <c r="L51" s="122">
        <f>INDEX('Change in Proportion Layers'!$AD$8:$AD$324,MATCH('OPEB Amounts_Report'!A51,'Change in Proportion Layers'!$A$8:$A$324,0))</f>
        <v>46874</v>
      </c>
      <c r="M51" s="122">
        <f t="shared" si="0"/>
        <v>1155901</v>
      </c>
      <c r="N51" s="123"/>
      <c r="O51" s="123">
        <f>ROUND(VLOOKUP(A51,'Contribution Allocation_Report'!$A$9:$D$311,4,FALSE)*'OPEB Amounts_Report'!$O$326,0)</f>
        <v>-262290</v>
      </c>
      <c r="P51" s="123">
        <f>INDEX('Change in Proportion Layers'!$AA$8:$AA$324,MATCH('OPEB Amounts_Report'!A51,'Change in Proportion Layers'!$A$8:$A$324,0))</f>
        <v>48655</v>
      </c>
      <c r="Q51" s="123">
        <f t="shared" si="2"/>
        <v>-213635</v>
      </c>
    </row>
    <row r="52" spans="1:17" ht="12" customHeight="1">
      <c r="A52" s="164">
        <v>9027</v>
      </c>
      <c r="B52" s="168" t="s">
        <v>41</v>
      </c>
      <c r="C52" s="120">
        <f>ROUND(VLOOKUP(A52,'Contribution Allocation_Report'!$A$9:$D$311,4,FALSE)*'OPEB Amounts_Report'!$C$326,0)</f>
        <v>1743236</v>
      </c>
      <c r="D52" s="120">
        <f>ROUND(VLOOKUP(A52,'Contribution Allocation_Report'!$A$9:$D$311,4,FALSE)*'OPEB Amounts_Report'!$D$326,0)</f>
        <v>28995</v>
      </c>
      <c r="E52" s="120">
        <f>ROUND(VLOOKUP(A52,'Contribution Allocation_Report'!$A$9:$D$311,4,FALSE)*'OPEB Amounts_Report'!$E$326,0)</f>
        <v>24038</v>
      </c>
      <c r="F52" s="120">
        <f>ROUND(VLOOKUP(A52,'Contribution Allocation_Report'!$A$9:$D$311,4,FALSE)*'OPEB Amounts_Report'!$F$326,0)</f>
        <v>371965</v>
      </c>
      <c r="G52" s="120">
        <f>INDEX('Change in Proportion Layers'!$AC$8:$AC$324,MATCH('OPEB Amounts_Report'!A52,'Change in Proportion Layers'!$A$8:$A$324,0))</f>
        <v>461946</v>
      </c>
      <c r="H52" s="120">
        <f t="shared" si="1"/>
        <v>886944</v>
      </c>
      <c r="I52" s="120"/>
      <c r="J52" s="120">
        <f>ROUND(VLOOKUP(A52,'Contribution Allocation_Report'!$A$9:$D$311,4,FALSE)*'OPEB Amounts_Report'!$J$326,0)</f>
        <v>258385</v>
      </c>
      <c r="K52" s="120">
        <f>ROUND(VLOOKUP(A52,'Contribution Allocation_Report'!$A$9:$D$311,4,FALSE)*'OPEB Amounts_Report'!$K$326,0)</f>
        <v>1292241</v>
      </c>
      <c r="L52" s="120">
        <f>INDEX('Change in Proportion Layers'!$AD$8:$AD$324,MATCH('OPEB Amounts_Report'!A52,'Change in Proportion Layers'!$A$8:$A$324,0))</f>
        <v>176563</v>
      </c>
      <c r="M52" s="120">
        <f t="shared" si="0"/>
        <v>1727189</v>
      </c>
      <c r="N52" s="121"/>
      <c r="O52" s="121">
        <f>ROUND(VLOOKUP(A52,'Contribution Allocation_Report'!$A$9:$D$311,4,FALSE)*'OPEB Amounts_Report'!$O$326,0)</f>
        <v>-366731</v>
      </c>
      <c r="P52" s="121">
        <f>INDEX('Change in Proportion Layers'!$AA$8:$AA$324,MATCH('OPEB Amounts_Report'!A52,'Change in Proportion Layers'!$A$8:$A$324,0))</f>
        <v>114965</v>
      </c>
      <c r="Q52" s="121">
        <f t="shared" si="2"/>
        <v>-251766</v>
      </c>
    </row>
    <row r="53" spans="1:17" ht="12" customHeight="1">
      <c r="A53" s="166">
        <v>2010</v>
      </c>
      <c r="B53" s="167" t="s">
        <v>42</v>
      </c>
      <c r="C53" s="122">
        <f>ROUND(VLOOKUP(A53,'Contribution Allocation_Report'!$A$9:$D$311,4,FALSE)*'OPEB Amounts_Report'!$C$326,0)</f>
        <v>6304054</v>
      </c>
      <c r="D53" s="122">
        <f>ROUND(VLOOKUP(A53,'Contribution Allocation_Report'!$A$9:$D$311,4,FALSE)*'OPEB Amounts_Report'!$D$326,0)</f>
        <v>104855</v>
      </c>
      <c r="E53" s="122">
        <f>ROUND(VLOOKUP(A53,'Contribution Allocation_Report'!$A$9:$D$311,4,FALSE)*'OPEB Amounts_Report'!$E$326,0)</f>
        <v>86927</v>
      </c>
      <c r="F53" s="122">
        <f>ROUND(VLOOKUP(A53,'Contribution Allocation_Report'!$A$9:$D$311,4,FALSE)*'OPEB Amounts_Report'!$F$326,0)</f>
        <v>1345136</v>
      </c>
      <c r="G53" s="122">
        <f>INDEX('Change in Proportion Layers'!$AC$8:$AC$324,MATCH('OPEB Amounts_Report'!A53,'Change in Proportion Layers'!$A$8:$A$324,0))</f>
        <v>482455</v>
      </c>
      <c r="H53" s="122">
        <f t="shared" si="1"/>
        <v>2019373</v>
      </c>
      <c r="I53" s="122"/>
      <c r="J53" s="122">
        <f>ROUND(VLOOKUP(A53,'Contribution Allocation_Report'!$A$9:$D$311,4,FALSE)*'OPEB Amounts_Report'!$J$326,0)</f>
        <v>934395</v>
      </c>
      <c r="K53" s="122">
        <f>ROUND(VLOOKUP(A53,'Contribution Allocation_Report'!$A$9:$D$311,4,FALSE)*'OPEB Amounts_Report'!$K$326,0)</f>
        <v>4673124</v>
      </c>
      <c r="L53" s="131">
        <f>INDEX('Change in Proportion Layers'!$AD$8:$AD$324,MATCH('OPEB Amounts_Report'!A53,'Change in Proportion Layers'!$A$8:$A$324,0))</f>
        <v>738658</v>
      </c>
      <c r="M53" s="122">
        <f t="shared" si="0"/>
        <v>6346177</v>
      </c>
      <c r="N53" s="123"/>
      <c r="O53" s="123">
        <f>ROUND(VLOOKUP(A53,'Contribution Allocation_Report'!$A$9:$D$311,4,FALSE)*'OPEB Amounts_Report'!$O$326,0)</f>
        <v>-1326206</v>
      </c>
      <c r="P53" s="123">
        <f>INDEX('Change in Proportion Layers'!$AA$8:$AA$324,MATCH('OPEB Amounts_Report'!A53,'Change in Proportion Layers'!$A$8:$A$324,0))</f>
        <v>-68556</v>
      </c>
      <c r="Q53" s="123">
        <f t="shared" si="2"/>
        <v>-1394762</v>
      </c>
    </row>
    <row r="54" spans="1:17" ht="12" customHeight="1">
      <c r="A54" s="164">
        <v>2020</v>
      </c>
      <c r="B54" s="168" t="s">
        <v>43</v>
      </c>
      <c r="C54" s="120">
        <f>ROUND(VLOOKUP(A54,'Contribution Allocation_Report'!$A$9:$D$311,4,FALSE)*'OPEB Amounts_Report'!$C$326,0)</f>
        <v>157585078</v>
      </c>
      <c r="D54" s="120">
        <f>ROUND(VLOOKUP(A54,'Contribution Allocation_Report'!$A$9:$D$311,4,FALSE)*'OPEB Amounts_Report'!$D$326,0)</f>
        <v>2621103</v>
      </c>
      <c r="E54" s="120">
        <f>ROUND(VLOOKUP(A54,'Contribution Allocation_Report'!$A$9:$D$311,4,FALSE)*'OPEB Amounts_Report'!$E$326,0)</f>
        <v>2172950</v>
      </c>
      <c r="F54" s="120">
        <f>ROUND(VLOOKUP(A54,'Contribution Allocation_Report'!$A$9:$D$311,4,FALSE)*'OPEB Amounts_Report'!$F$326,0)</f>
        <v>33624919</v>
      </c>
      <c r="G54" s="120">
        <f>INDEX('Change in Proportion Layers'!$AC$8:$AC$324,MATCH('OPEB Amounts_Report'!A54,'Change in Proportion Layers'!$A$8:$A$324,0))</f>
        <v>1970709</v>
      </c>
      <c r="H54" s="120">
        <f t="shared" si="1"/>
        <v>40389681</v>
      </c>
      <c r="I54" s="120"/>
      <c r="J54" s="120">
        <f>ROUND(VLOOKUP(A54,'Contribution Allocation_Report'!$A$9:$D$311,4,FALSE)*'OPEB Amounts_Report'!$J$326,0)</f>
        <v>23357456</v>
      </c>
      <c r="K54" s="120">
        <f>ROUND(VLOOKUP(A54,'Contribution Allocation_Report'!$A$9:$D$311,4,FALSE)*'OPEB Amounts_Report'!$K$326,0)</f>
        <v>116816042</v>
      </c>
      <c r="L54" s="130">
        <f>INDEX('Change in Proportion Layers'!$AD$8:$AD$324,MATCH('OPEB Amounts_Report'!A54,'Change in Proportion Layers'!$A$8:$A$324,0))</f>
        <v>8815644</v>
      </c>
      <c r="M54" s="120">
        <f t="shared" si="0"/>
        <v>148989142</v>
      </c>
      <c r="N54" s="121"/>
      <c r="O54" s="121">
        <f>ROUND(VLOOKUP(A54,'Contribution Allocation_Report'!$A$9:$D$311,4,FALSE)*'OPEB Amounts_Report'!$O$326,0)</f>
        <v>-33151729</v>
      </c>
      <c r="P54" s="121">
        <f>INDEX('Change in Proportion Layers'!$AA$8:$AA$324,MATCH('OPEB Amounts_Report'!A54,'Change in Proportion Layers'!$A$8:$A$324,0))</f>
        <v>-2652265</v>
      </c>
      <c r="Q54" s="121">
        <f t="shared" si="2"/>
        <v>-35803994</v>
      </c>
    </row>
    <row r="55" spans="1:17" ht="12" customHeight="1">
      <c r="A55" s="166">
        <v>2040</v>
      </c>
      <c r="B55" s="167" t="s">
        <v>44</v>
      </c>
      <c r="C55" s="122">
        <f>ROUND(VLOOKUP(A55,'Contribution Allocation_Report'!$A$9:$D$311,4,FALSE)*'OPEB Amounts_Report'!$C$326,0)</f>
        <v>2172355</v>
      </c>
      <c r="D55" s="122">
        <f>ROUND(VLOOKUP(A55,'Contribution Allocation_Report'!$A$9:$D$311,4,FALSE)*'OPEB Amounts_Report'!$D$326,0)</f>
        <v>36133</v>
      </c>
      <c r="E55" s="122">
        <f>ROUND(VLOOKUP(A55,'Contribution Allocation_Report'!$A$9:$D$311,4,FALSE)*'OPEB Amounts_Report'!$E$326,0)</f>
        <v>29955</v>
      </c>
      <c r="F55" s="122">
        <f>ROUND(VLOOKUP(A55,'Contribution Allocation_Report'!$A$9:$D$311,4,FALSE)*'OPEB Amounts_Report'!$F$326,0)</f>
        <v>463529</v>
      </c>
      <c r="G55" s="122">
        <f>INDEX('Change in Proportion Layers'!$AC$8:$AC$324,MATCH('OPEB Amounts_Report'!A55,'Change in Proportion Layers'!$A$8:$A$324,0))</f>
        <v>230982</v>
      </c>
      <c r="H55" s="122">
        <f t="shared" si="1"/>
        <v>760599</v>
      </c>
      <c r="I55" s="122"/>
      <c r="J55" s="122">
        <f>ROUND(VLOOKUP(A55,'Contribution Allocation_Report'!$A$9:$D$311,4,FALSE)*'OPEB Amounts_Report'!$J$326,0)</f>
        <v>321989</v>
      </c>
      <c r="K55" s="122">
        <f>ROUND(VLOOKUP(A55,'Contribution Allocation_Report'!$A$9:$D$311,4,FALSE)*'OPEB Amounts_Report'!$K$326,0)</f>
        <v>1610343</v>
      </c>
      <c r="L55" s="131">
        <f>INDEX('Change in Proportion Layers'!$AD$8:$AD$324,MATCH('OPEB Amounts_Report'!A55,'Change in Proportion Layers'!$A$8:$A$324,0))</f>
        <v>191120</v>
      </c>
      <c r="M55" s="122">
        <f t="shared" si="0"/>
        <v>2123452</v>
      </c>
      <c r="N55" s="123"/>
      <c r="O55" s="123">
        <f>ROUND(VLOOKUP(A55,'Contribution Allocation_Report'!$A$9:$D$311,4,FALSE)*'OPEB Amounts_Report'!$O$326,0)</f>
        <v>-457006</v>
      </c>
      <c r="P55" s="123">
        <f>INDEX('Change in Proportion Layers'!$AA$8:$AA$324,MATCH('OPEB Amounts_Report'!A55,'Change in Proportion Layers'!$A$8:$A$324,0))</f>
        <v>-15695</v>
      </c>
      <c r="Q55" s="123">
        <f t="shared" si="2"/>
        <v>-472701</v>
      </c>
    </row>
    <row r="56" spans="1:17" ht="12" customHeight="1">
      <c r="A56" s="164">
        <v>2060</v>
      </c>
      <c r="B56" s="168" t="s">
        <v>45</v>
      </c>
      <c r="C56" s="120">
        <f>ROUND(VLOOKUP(A56,'Contribution Allocation_Report'!$A$9:$D$311,4,FALSE)*'OPEB Amounts_Report'!$C$326,0)</f>
        <v>2329276</v>
      </c>
      <c r="D56" s="120">
        <f>ROUND(VLOOKUP(A56,'Contribution Allocation_Report'!$A$9:$D$311,4,FALSE)*'OPEB Amounts_Report'!$D$326,0)</f>
        <v>38743</v>
      </c>
      <c r="E56" s="120">
        <f>ROUND(VLOOKUP(A56,'Contribution Allocation_Report'!$A$9:$D$311,4,FALSE)*'OPEB Amounts_Report'!$E$326,0)</f>
        <v>32119</v>
      </c>
      <c r="F56" s="120">
        <f>ROUND(VLOOKUP(A56,'Contribution Allocation_Report'!$A$9:$D$311,4,FALSE)*'OPEB Amounts_Report'!$F$326,0)</f>
        <v>497012</v>
      </c>
      <c r="G56" s="120">
        <f>INDEX('Change in Proportion Layers'!$AC$8:$AC$324,MATCH('OPEB Amounts_Report'!A56,'Change in Proportion Layers'!$A$8:$A$324,0))</f>
        <v>823134</v>
      </c>
      <c r="H56" s="120">
        <f t="shared" si="1"/>
        <v>1391008</v>
      </c>
      <c r="I56" s="120"/>
      <c r="J56" s="120">
        <f>ROUND(VLOOKUP(A56,'Contribution Allocation_Report'!$A$9:$D$311,4,FALSE)*'OPEB Amounts_Report'!$J$326,0)</f>
        <v>345248</v>
      </c>
      <c r="K56" s="120">
        <f>ROUND(VLOOKUP(A56,'Contribution Allocation_Report'!$A$9:$D$311,4,FALSE)*'OPEB Amounts_Report'!$K$326,0)</f>
        <v>1726666</v>
      </c>
      <c r="L56" s="130">
        <f>INDEX('Change in Proportion Layers'!$AD$8:$AD$324,MATCH('OPEB Amounts_Report'!A56,'Change in Proportion Layers'!$A$8:$A$324,0))</f>
        <v>212136</v>
      </c>
      <c r="M56" s="120">
        <f t="shared" si="0"/>
        <v>2284050</v>
      </c>
      <c r="N56" s="121"/>
      <c r="O56" s="121">
        <f>ROUND(VLOOKUP(A56,'Contribution Allocation_Report'!$A$9:$D$311,4,FALSE)*'OPEB Amounts_Report'!$O$326,0)</f>
        <v>-490018</v>
      </c>
      <c r="P56" s="121">
        <f>INDEX('Change in Proportion Layers'!$AA$8:$AA$324,MATCH('OPEB Amounts_Report'!A56,'Change in Proportion Layers'!$A$8:$A$324,0))</f>
        <v>118788</v>
      </c>
      <c r="Q56" s="121">
        <f t="shared" si="2"/>
        <v>-371230</v>
      </c>
    </row>
    <row r="57" spans="1:17" ht="12" customHeight="1">
      <c r="A57" s="166">
        <v>2090</v>
      </c>
      <c r="B57" s="167" t="s">
        <v>46</v>
      </c>
      <c r="C57" s="122">
        <f>ROUND(VLOOKUP(A57,'Contribution Allocation_Report'!$A$9:$D$311,4,FALSE)*'OPEB Amounts_Report'!$C$326,0)</f>
        <v>1737639</v>
      </c>
      <c r="D57" s="122">
        <f>ROUND(VLOOKUP(A57,'Contribution Allocation_Report'!$A$9:$D$311,4,FALSE)*'OPEB Amounts_Report'!$D$326,0)</f>
        <v>28902</v>
      </c>
      <c r="E57" s="122">
        <f>ROUND(VLOOKUP(A57,'Contribution Allocation_Report'!$A$9:$D$311,4,FALSE)*'OPEB Amounts_Report'!$E$326,0)</f>
        <v>23960</v>
      </c>
      <c r="F57" s="122">
        <f>ROUND(VLOOKUP(A57,'Contribution Allocation_Report'!$A$9:$D$311,4,FALSE)*'OPEB Amounts_Report'!$F$326,0)</f>
        <v>370771</v>
      </c>
      <c r="G57" s="122">
        <f>INDEX('Change in Proportion Layers'!$AC$8:$AC$324,MATCH('OPEB Amounts_Report'!A57,'Change in Proportion Layers'!$A$8:$A$324,0))</f>
        <v>95547</v>
      </c>
      <c r="H57" s="122">
        <f t="shared" si="1"/>
        <v>519180</v>
      </c>
      <c r="I57" s="122"/>
      <c r="J57" s="122">
        <f>ROUND(VLOOKUP(A57,'Contribution Allocation_Report'!$A$9:$D$311,4,FALSE)*'OPEB Amounts_Report'!$J$326,0)</f>
        <v>257555</v>
      </c>
      <c r="K57" s="122">
        <f>ROUND(VLOOKUP(A57,'Contribution Allocation_Report'!$A$9:$D$311,4,FALSE)*'OPEB Amounts_Report'!$K$326,0)</f>
        <v>1288092</v>
      </c>
      <c r="L57" s="131">
        <f>INDEX('Change in Proportion Layers'!$AD$8:$AD$324,MATCH('OPEB Amounts_Report'!A57,'Change in Proportion Layers'!$A$8:$A$324,0))</f>
        <v>505028</v>
      </c>
      <c r="M57" s="122">
        <f t="shared" si="0"/>
        <v>2050675</v>
      </c>
      <c r="N57" s="123"/>
      <c r="O57" s="123">
        <f>ROUND(VLOOKUP(A57,'Contribution Allocation_Report'!$A$9:$D$311,4,FALSE)*'OPEB Amounts_Report'!$O$326,0)</f>
        <v>-365553</v>
      </c>
      <c r="P57" s="123">
        <f>INDEX('Change in Proportion Layers'!$AA$8:$AA$324,MATCH('OPEB Amounts_Report'!A57,'Change in Proportion Layers'!$A$8:$A$324,0))</f>
        <v>-363159</v>
      </c>
      <c r="Q57" s="123">
        <f t="shared" si="2"/>
        <v>-728712</v>
      </c>
    </row>
    <row r="58" spans="1:17" ht="12" customHeight="1">
      <c r="A58" s="164">
        <v>2110</v>
      </c>
      <c r="B58" s="165" t="s">
        <v>47</v>
      </c>
      <c r="C58" s="126">
        <f>ROUND(VLOOKUP(A58,'Contribution Allocation_Report'!$A$9:$D$311,4,FALSE)*'OPEB Amounts_Report'!$C$326,0)</f>
        <v>13918380</v>
      </c>
      <c r="D58" s="126">
        <f>ROUND(VLOOKUP(A58,'Contribution Allocation_Report'!$A$9:$D$311,4,FALSE)*'OPEB Amounts_Report'!$D$326,0)</f>
        <v>231504</v>
      </c>
      <c r="E58" s="126">
        <f>ROUND(VLOOKUP(A58,'Contribution Allocation_Report'!$A$9:$D$311,4,FALSE)*'OPEB Amounts_Report'!$E$326,0)</f>
        <v>191921</v>
      </c>
      <c r="F58" s="126">
        <f>ROUND(VLOOKUP(A58,'Contribution Allocation_Report'!$A$9:$D$311,4,FALSE)*'OPEB Amounts_Report'!$F$326,0)</f>
        <v>2969852</v>
      </c>
      <c r="G58" s="126">
        <f>INDEX('Change in Proportion Layers'!$AC$8:$AC$324,MATCH('OPEB Amounts_Report'!A58,'Change in Proportion Layers'!$A$8:$A$324,0))</f>
        <v>257309</v>
      </c>
      <c r="H58" s="126">
        <f t="shared" si="1"/>
        <v>3650586</v>
      </c>
      <c r="I58" s="126"/>
      <c r="J58" s="126">
        <f>ROUND(VLOOKUP(A58,'Contribution Allocation_Report'!$A$9:$D$311,4,FALSE)*'OPEB Amounts_Report'!$J$326,0)</f>
        <v>2062999</v>
      </c>
      <c r="K58" s="126">
        <f>ROUND(VLOOKUP(A58,'Contribution Allocation_Report'!$A$9:$D$311,4,FALSE)*'OPEB Amounts_Report'!$K$326,0)</f>
        <v>10317538</v>
      </c>
      <c r="L58" s="128">
        <f>INDEX('Change in Proportion Layers'!$AD$8:$AD$324,MATCH('OPEB Amounts_Report'!A58,'Change in Proportion Layers'!$A$8:$A$324,0))</f>
        <v>1307701</v>
      </c>
      <c r="M58" s="126">
        <f t="shared" si="0"/>
        <v>13688238</v>
      </c>
      <c r="N58" s="127"/>
      <c r="O58" s="127">
        <f>ROUND(VLOOKUP(A58,'Contribution Allocation_Report'!$A$9:$D$311,4,FALSE)*'OPEB Amounts_Report'!$O$326,0)</f>
        <v>-2928059</v>
      </c>
      <c r="P58" s="127">
        <f>INDEX('Change in Proportion Layers'!$AA$8:$AA$324,MATCH('OPEB Amounts_Report'!A58,'Change in Proportion Layers'!$A$8:$A$324,0))</f>
        <v>-132204</v>
      </c>
      <c r="Q58" s="127">
        <f t="shared" si="2"/>
        <v>-3060263</v>
      </c>
    </row>
    <row r="59" spans="1:17" ht="12" customHeight="1">
      <c r="A59" s="166">
        <v>2180</v>
      </c>
      <c r="B59" s="167" t="s">
        <v>48</v>
      </c>
      <c r="C59" s="122">
        <f>ROUND(VLOOKUP(A59,'Contribution Allocation_Report'!$A$9:$D$311,4,FALSE)*'OPEB Amounts_Report'!$C$326,0)</f>
        <v>6640400</v>
      </c>
      <c r="D59" s="122">
        <f>ROUND(VLOOKUP(A59,'Contribution Allocation_Report'!$A$9:$D$311,4,FALSE)*'OPEB Amounts_Report'!$D$326,0)</f>
        <v>110449</v>
      </c>
      <c r="E59" s="122">
        <f>ROUND(VLOOKUP(A59,'Contribution Allocation_Report'!$A$9:$D$311,4,FALSE)*'OPEB Amounts_Report'!$E$326,0)</f>
        <v>91565</v>
      </c>
      <c r="F59" s="122">
        <f>ROUND(VLOOKUP(A59,'Contribution Allocation_Report'!$A$9:$D$311,4,FALSE)*'OPEB Amounts_Report'!$F$326,0)</f>
        <v>1416904</v>
      </c>
      <c r="G59" s="122">
        <f>INDEX('Change in Proportion Layers'!$AC$8:$AC$324,MATCH('OPEB Amounts_Report'!A59,'Change in Proportion Layers'!$A$8:$A$324,0))</f>
        <v>180947</v>
      </c>
      <c r="H59" s="122">
        <f t="shared" si="1"/>
        <v>1799865</v>
      </c>
      <c r="I59" s="122"/>
      <c r="J59" s="122">
        <f>ROUND(VLOOKUP(A59,'Contribution Allocation_Report'!$A$9:$D$311,4,FALSE)*'OPEB Amounts_Report'!$J$326,0)</f>
        <v>984248</v>
      </c>
      <c r="K59" s="122">
        <f>ROUND(VLOOKUP(A59,'Contribution Allocation_Report'!$A$9:$D$311,4,FALSE)*'OPEB Amounts_Report'!$K$326,0)</f>
        <v>4922453</v>
      </c>
      <c r="L59" s="122">
        <f>INDEX('Change in Proportion Layers'!$AD$8:$AD$324,MATCH('OPEB Amounts_Report'!A59,'Change in Proportion Layers'!$A$8:$A$324,0))</f>
        <v>674467</v>
      </c>
      <c r="M59" s="122">
        <f t="shared" si="0"/>
        <v>6581168</v>
      </c>
      <c r="N59" s="123"/>
      <c r="O59" s="123">
        <f>ROUND(VLOOKUP(A59,'Contribution Allocation_Report'!$A$9:$D$311,4,FALSE)*'OPEB Amounts_Report'!$O$326,0)</f>
        <v>-1396964</v>
      </c>
      <c r="P59" s="123">
        <f>INDEX('Change in Proportion Layers'!$AA$8:$AA$324,MATCH('OPEB Amounts_Report'!A59,'Change in Proportion Layers'!$A$8:$A$324,0))</f>
        <v>-149363</v>
      </c>
      <c r="Q59" s="123">
        <f t="shared" si="2"/>
        <v>-1546327</v>
      </c>
    </row>
    <row r="60" spans="1:17" ht="12" customHeight="1">
      <c r="A60" s="164">
        <v>2210</v>
      </c>
      <c r="B60" s="168" t="s">
        <v>49</v>
      </c>
      <c r="C60" s="120">
        <f>ROUND(VLOOKUP(A60,'Contribution Allocation_Report'!$A$9:$D$311,4,FALSE)*'OPEB Amounts_Report'!$C$326,0)</f>
        <v>2933224</v>
      </c>
      <c r="D60" s="120">
        <f>ROUND(VLOOKUP(A60,'Contribution Allocation_Report'!$A$9:$D$311,4,FALSE)*'OPEB Amounts_Report'!$D$326,0)</f>
        <v>48788</v>
      </c>
      <c r="E60" s="120">
        <f>ROUND(VLOOKUP(A60,'Contribution Allocation_Report'!$A$9:$D$311,4,FALSE)*'OPEB Amounts_Report'!$E$326,0)</f>
        <v>40446</v>
      </c>
      <c r="F60" s="120">
        <f>ROUND(VLOOKUP(A60,'Contribution Allocation_Report'!$A$9:$D$311,4,FALSE)*'OPEB Amounts_Report'!$F$326,0)</f>
        <v>625880</v>
      </c>
      <c r="G60" s="120">
        <f>INDEX('Change in Proportion Layers'!$AC$8:$AC$324,MATCH('OPEB Amounts_Report'!A60,'Change in Proportion Layers'!$A$8:$A$324,0))</f>
        <v>33845</v>
      </c>
      <c r="H60" s="120">
        <f t="shared" si="1"/>
        <v>748959</v>
      </c>
      <c r="I60" s="120"/>
      <c r="J60" s="120">
        <f>ROUND(VLOOKUP(A60,'Contribution Allocation_Report'!$A$9:$D$311,4,FALSE)*'OPEB Amounts_Report'!$J$326,0)</f>
        <v>434766</v>
      </c>
      <c r="K60" s="120">
        <f>ROUND(VLOOKUP(A60,'Contribution Allocation_Report'!$A$9:$D$311,4,FALSE)*'OPEB Amounts_Report'!$K$326,0)</f>
        <v>2174366</v>
      </c>
      <c r="L60" s="120">
        <f>INDEX('Change in Proportion Layers'!$AD$8:$AD$324,MATCH('OPEB Amounts_Report'!A60,'Change in Proportion Layers'!$A$8:$A$324,0))</f>
        <v>690059</v>
      </c>
      <c r="M60" s="120">
        <f t="shared" si="0"/>
        <v>3299191</v>
      </c>
      <c r="N60" s="121"/>
      <c r="O60" s="121">
        <f>ROUND(VLOOKUP(A60,'Contribution Allocation_Report'!$A$9:$D$311,4,FALSE)*'OPEB Amounts_Report'!$O$326,0)</f>
        <v>-617073</v>
      </c>
      <c r="P60" s="121">
        <f>INDEX('Change in Proportion Layers'!$AA$8:$AA$324,MATCH('OPEB Amounts_Report'!A60,'Change in Proportion Layers'!$A$8:$A$324,0))</f>
        <v>-226486</v>
      </c>
      <c r="Q60" s="121">
        <f t="shared" si="2"/>
        <v>-843559</v>
      </c>
    </row>
    <row r="61" spans="1:17" ht="12" customHeight="1">
      <c r="A61" s="166">
        <v>2290</v>
      </c>
      <c r="B61" s="167" t="s">
        <v>50</v>
      </c>
      <c r="C61" s="122">
        <f>ROUND(VLOOKUP(A61,'Contribution Allocation_Report'!$A$9:$D$311,4,FALSE)*'OPEB Amounts_Report'!$C$326,0)</f>
        <v>3051437</v>
      </c>
      <c r="D61" s="122">
        <f>ROUND(VLOOKUP(A61,'Contribution Allocation_Report'!$A$9:$D$311,4,FALSE)*'OPEB Amounts_Report'!$D$326,0)</f>
        <v>50754</v>
      </c>
      <c r="E61" s="122">
        <f>ROUND(VLOOKUP(A61,'Contribution Allocation_Report'!$A$9:$D$311,4,FALSE)*'OPEB Amounts_Report'!$E$326,0)</f>
        <v>42076</v>
      </c>
      <c r="F61" s="122">
        <f>ROUND(VLOOKUP(A61,'Contribution Allocation_Report'!$A$9:$D$311,4,FALSE)*'OPEB Amounts_Report'!$F$326,0)</f>
        <v>651104</v>
      </c>
      <c r="G61" s="122">
        <f>INDEX('Change in Proportion Layers'!$AC$8:$AC$324,MATCH('OPEB Amounts_Report'!A61,'Change in Proportion Layers'!$A$8:$A$324,0))</f>
        <v>162964</v>
      </c>
      <c r="H61" s="122">
        <f t="shared" si="1"/>
        <v>906898</v>
      </c>
      <c r="I61" s="122"/>
      <c r="J61" s="122">
        <f>ROUND(VLOOKUP(A61,'Contribution Allocation_Report'!$A$9:$D$311,4,FALSE)*'OPEB Amounts_Report'!$J$326,0)</f>
        <v>452288</v>
      </c>
      <c r="K61" s="122">
        <f>ROUND(VLOOKUP(A61,'Contribution Allocation_Report'!$A$9:$D$311,4,FALSE)*'OPEB Amounts_Report'!$K$326,0)</f>
        <v>2261996</v>
      </c>
      <c r="L61" s="122">
        <f>INDEX('Change in Proportion Layers'!$AD$8:$AD$324,MATCH('OPEB Amounts_Report'!A61,'Change in Proportion Layers'!$A$8:$A$324,0))</f>
        <v>231476</v>
      </c>
      <c r="M61" s="122">
        <f t="shared" si="0"/>
        <v>2945760</v>
      </c>
      <c r="N61" s="123"/>
      <c r="O61" s="123">
        <f>ROUND(VLOOKUP(A61,'Contribution Allocation_Report'!$A$9:$D$311,4,FALSE)*'OPEB Amounts_Report'!$O$326,0)</f>
        <v>-641942</v>
      </c>
      <c r="P61" s="123">
        <f>INDEX('Change in Proportion Layers'!$AA$8:$AA$324,MATCH('OPEB Amounts_Report'!A61,'Change in Proportion Layers'!$A$8:$A$324,0))</f>
        <v>-16535</v>
      </c>
      <c r="Q61" s="123">
        <f t="shared" si="2"/>
        <v>-658477</v>
      </c>
    </row>
    <row r="62" spans="1:17" ht="12" customHeight="1">
      <c r="A62" s="164">
        <v>2310</v>
      </c>
      <c r="B62" s="168" t="s">
        <v>51</v>
      </c>
      <c r="C62" s="120">
        <f>ROUND(VLOOKUP(A62,'Contribution Allocation_Report'!$A$9:$D$311,4,FALSE)*'OPEB Amounts_Report'!$C$326,0)</f>
        <v>21354463</v>
      </c>
      <c r="D62" s="120">
        <f>ROUND(VLOOKUP(A62,'Contribution Allocation_Report'!$A$9:$D$311,4,FALSE)*'OPEB Amounts_Report'!$D$326,0)</f>
        <v>355188</v>
      </c>
      <c r="E62" s="120">
        <f>ROUND(VLOOKUP(A62,'Contribution Allocation_Report'!$A$9:$D$311,4,FALSE)*'OPEB Amounts_Report'!$E$326,0)</f>
        <v>294458</v>
      </c>
      <c r="F62" s="120">
        <f>ROUND(VLOOKUP(A62,'Contribution Allocation_Report'!$A$9:$D$311,4,FALSE)*'OPEB Amounts_Report'!$F$326,0)</f>
        <v>4556536</v>
      </c>
      <c r="G62" s="120">
        <f>INDEX('Change in Proportion Layers'!$AC$8:$AC$324,MATCH('OPEB Amounts_Report'!A62,'Change in Proportion Layers'!$A$8:$A$324,0))</f>
        <v>1435029</v>
      </c>
      <c r="H62" s="120">
        <f t="shared" si="1"/>
        <v>6641211</v>
      </c>
      <c r="I62" s="120"/>
      <c r="J62" s="120">
        <f>ROUND(VLOOKUP(A62,'Contribution Allocation_Report'!$A$9:$D$311,4,FALSE)*'OPEB Amounts_Report'!$J$326,0)</f>
        <v>3165185</v>
      </c>
      <c r="K62" s="120">
        <f>ROUND(VLOOKUP(A62,'Contribution Allocation_Report'!$A$9:$D$311,4,FALSE)*'OPEB Amounts_Report'!$K$326,0)</f>
        <v>15829823</v>
      </c>
      <c r="L62" s="120">
        <f>INDEX('Change in Proportion Layers'!$AD$8:$AD$324,MATCH('OPEB Amounts_Report'!A62,'Change in Proportion Layers'!$A$8:$A$324,0))</f>
        <v>5222241</v>
      </c>
      <c r="M62" s="120">
        <f t="shared" si="0"/>
        <v>24217249</v>
      </c>
      <c r="N62" s="121"/>
      <c r="O62" s="121">
        <f>ROUND(VLOOKUP(A62,'Contribution Allocation_Report'!$A$9:$D$311,4,FALSE)*'OPEB Amounts_Report'!$O$326,0)</f>
        <v>-4492414</v>
      </c>
      <c r="P62" s="121">
        <f>INDEX('Change in Proportion Layers'!$AA$8:$AA$324,MATCH('OPEB Amounts_Report'!A62,'Change in Proportion Layers'!$A$8:$A$324,0))</f>
        <v>-1244200</v>
      </c>
      <c r="Q62" s="121">
        <f t="shared" si="2"/>
        <v>-5736614</v>
      </c>
    </row>
    <row r="63" spans="1:17" ht="12" customHeight="1">
      <c r="A63" s="166">
        <v>2330</v>
      </c>
      <c r="B63" s="167" t="s">
        <v>52</v>
      </c>
      <c r="C63" s="122">
        <f>ROUND(VLOOKUP(A63,'Contribution Allocation_Report'!$A$9:$D$311,4,FALSE)*'OPEB Amounts_Report'!$C$326,0)</f>
        <v>7608955</v>
      </c>
      <c r="D63" s="122">
        <f>ROUND(VLOOKUP(A63,'Contribution Allocation_Report'!$A$9:$D$311,4,FALSE)*'OPEB Amounts_Report'!$D$326,0)</f>
        <v>126559</v>
      </c>
      <c r="E63" s="122">
        <f>ROUND(VLOOKUP(A63,'Contribution Allocation_Report'!$A$9:$D$311,4,FALSE)*'OPEB Amounts_Report'!$E$326,0)</f>
        <v>104920</v>
      </c>
      <c r="F63" s="122">
        <f>ROUND(VLOOKUP(A63,'Contribution Allocation_Report'!$A$9:$D$311,4,FALSE)*'OPEB Amounts_Report'!$F$326,0)</f>
        <v>1623571</v>
      </c>
      <c r="G63" s="122">
        <f>INDEX('Change in Proportion Layers'!$AC$8:$AC$324,MATCH('OPEB Amounts_Report'!A63,'Change in Proportion Layers'!$A$8:$A$324,0))</f>
        <v>859298</v>
      </c>
      <c r="H63" s="122">
        <f t="shared" si="1"/>
        <v>2714348</v>
      </c>
      <c r="I63" s="122"/>
      <c r="J63" s="122">
        <f>ROUND(VLOOKUP(A63,'Contribution Allocation_Report'!$A$9:$D$311,4,FALSE)*'OPEB Amounts_Report'!$J$326,0)</f>
        <v>1127809</v>
      </c>
      <c r="K63" s="122">
        <f>ROUND(VLOOKUP(A63,'Contribution Allocation_Report'!$A$9:$D$311,4,FALSE)*'OPEB Amounts_Report'!$K$326,0)</f>
        <v>5640433</v>
      </c>
      <c r="L63" s="122">
        <f>INDEX('Change in Proportion Layers'!$AD$8:$AD$324,MATCH('OPEB Amounts_Report'!A63,'Change in Proportion Layers'!$A$8:$A$324,0))</f>
        <v>2050255</v>
      </c>
      <c r="M63" s="122">
        <f t="shared" si="0"/>
        <v>8818497</v>
      </c>
      <c r="N63" s="123"/>
      <c r="O63" s="123">
        <f>ROUND(VLOOKUP(A63,'Contribution Allocation_Report'!$A$9:$D$311,4,FALSE)*'OPEB Amounts_Report'!$O$326,0)</f>
        <v>-1600723</v>
      </c>
      <c r="P63" s="123">
        <f>INDEX('Change in Proportion Layers'!$AA$8:$AA$324,MATCH('OPEB Amounts_Report'!A63,'Change in Proportion Layers'!$A$8:$A$324,0))</f>
        <v>-305740</v>
      </c>
      <c r="Q63" s="123">
        <f t="shared" si="2"/>
        <v>-1906463</v>
      </c>
    </row>
    <row r="64" spans="1:17" ht="12" customHeight="1">
      <c r="A64" s="164">
        <v>2380</v>
      </c>
      <c r="B64" s="168" t="s">
        <v>53</v>
      </c>
      <c r="C64" s="120">
        <f>ROUND(VLOOKUP(A64,'Contribution Allocation_Report'!$A$9:$D$311,4,FALSE)*'OPEB Amounts_Report'!$C$326,0)</f>
        <v>1155536</v>
      </c>
      <c r="D64" s="120">
        <f>ROUND(VLOOKUP(A64,'Contribution Allocation_Report'!$A$9:$D$311,4,FALSE)*'OPEB Amounts_Report'!$D$326,0)</f>
        <v>19220</v>
      </c>
      <c r="E64" s="120">
        <f>ROUND(VLOOKUP(A64,'Contribution Allocation_Report'!$A$9:$D$311,4,FALSE)*'OPEB Amounts_Report'!$E$326,0)</f>
        <v>15934</v>
      </c>
      <c r="F64" s="120">
        <f>ROUND(VLOOKUP(A64,'Contribution Allocation_Report'!$A$9:$D$311,4,FALSE)*'OPEB Amounts_Report'!$F$326,0)</f>
        <v>246564</v>
      </c>
      <c r="G64" s="130">
        <f>INDEX('Change in Proportion Layers'!$AC$8:$AC$324,MATCH('OPEB Amounts_Report'!A64,'Change in Proportion Layers'!$A$8:$A$324,0))</f>
        <v>679544</v>
      </c>
      <c r="H64" s="120">
        <f t="shared" si="1"/>
        <v>961262</v>
      </c>
      <c r="I64" s="120"/>
      <c r="J64" s="120">
        <f>ROUND(VLOOKUP(A64,'Contribution Allocation_Report'!$A$9:$D$311,4,FALSE)*'OPEB Amounts_Report'!$J$326,0)</f>
        <v>171275</v>
      </c>
      <c r="K64" s="120">
        <f>ROUND(VLOOKUP(A64,'Contribution Allocation_Report'!$A$9:$D$311,4,FALSE)*'OPEB Amounts_Report'!$K$326,0)</f>
        <v>856586</v>
      </c>
      <c r="L64" s="120">
        <f>INDEX('Change in Proportion Layers'!$AD$8:$AD$324,MATCH('OPEB Amounts_Report'!A64,'Change in Proportion Layers'!$A$8:$A$324,0))</f>
        <v>0</v>
      </c>
      <c r="M64" s="120">
        <f t="shared" si="0"/>
        <v>1027861</v>
      </c>
      <c r="N64" s="121"/>
      <c r="O64" s="121">
        <f>ROUND(VLOOKUP(A64,'Contribution Allocation_Report'!$A$9:$D$311,4,FALSE)*'OPEB Amounts_Report'!$O$326,0)</f>
        <v>-243094</v>
      </c>
      <c r="P64" s="121">
        <f>INDEX('Change in Proportion Layers'!$AA$8:$AA$324,MATCH('OPEB Amounts_Report'!A64,'Change in Proportion Layers'!$A$8:$A$324,0))</f>
        <v>234696</v>
      </c>
      <c r="Q64" s="121">
        <f t="shared" si="2"/>
        <v>-8398</v>
      </c>
    </row>
    <row r="65" spans="1:17" ht="12" customHeight="1">
      <c r="A65" s="166">
        <v>2400</v>
      </c>
      <c r="B65" s="167" t="s">
        <v>54</v>
      </c>
      <c r="C65" s="122">
        <f>ROUND(VLOOKUP(A65,'Contribution Allocation_Report'!$A$9:$D$311,4,FALSE)*'OPEB Amounts_Report'!$C$326,0)</f>
        <v>36912747</v>
      </c>
      <c r="D65" s="122">
        <f>ROUND(VLOOKUP(A65,'Contribution Allocation_Report'!$A$9:$D$311,4,FALSE)*'OPEB Amounts_Report'!$D$326,0)</f>
        <v>613968</v>
      </c>
      <c r="E65" s="122">
        <f>ROUND(VLOOKUP(A65,'Contribution Allocation_Report'!$A$9:$D$311,4,FALSE)*'OPEB Amounts_Report'!$E$326,0)</f>
        <v>508992</v>
      </c>
      <c r="F65" s="122">
        <f>ROUND(VLOOKUP(A65,'Contribution Allocation_Report'!$A$9:$D$311,4,FALSE)*'OPEB Amounts_Report'!$F$326,0)</f>
        <v>7876305</v>
      </c>
      <c r="G65" s="122">
        <f>INDEX('Change in Proportion Layers'!$AC$8:$AC$324,MATCH('OPEB Amounts_Report'!A65,'Change in Proportion Layers'!$A$8:$A$324,0))</f>
        <v>2707177</v>
      </c>
      <c r="H65" s="122">
        <f t="shared" si="1"/>
        <v>11706442</v>
      </c>
      <c r="I65" s="122"/>
      <c r="J65" s="122">
        <f>ROUND(VLOOKUP(A65,'Contribution Allocation_Report'!$A$9:$D$311,4,FALSE)*'OPEB Amounts_Report'!$J$326,0)</f>
        <v>5471253</v>
      </c>
      <c r="K65" s="122">
        <f>ROUND(VLOOKUP(A65,'Contribution Allocation_Report'!$A$9:$D$311,4,FALSE)*'OPEB Amounts_Report'!$K$326,0)</f>
        <v>27363003</v>
      </c>
      <c r="L65" s="131">
        <f>INDEX('Change in Proportion Layers'!$AD$8:$AD$324,MATCH('OPEB Amounts_Report'!A65,'Change in Proportion Layers'!$A$8:$A$324,0))</f>
        <v>3943580</v>
      </c>
      <c r="M65" s="122">
        <f t="shared" si="0"/>
        <v>36777836</v>
      </c>
      <c r="N65" s="123"/>
      <c r="O65" s="123">
        <f>ROUND(VLOOKUP(A65,'Contribution Allocation_Report'!$A$9:$D$311,4,FALSE)*'OPEB Amounts_Report'!$O$326,0)</f>
        <v>-7765465</v>
      </c>
      <c r="P65" s="123">
        <f>INDEX('Change in Proportion Layers'!$AA$8:$AA$324,MATCH('OPEB Amounts_Report'!A65,'Change in Proportion Layers'!$A$8:$A$324,0))</f>
        <v>-40858</v>
      </c>
      <c r="Q65" s="123">
        <f t="shared" si="2"/>
        <v>-7806323</v>
      </c>
    </row>
    <row r="66" spans="1:17" ht="12" customHeight="1">
      <c r="A66" s="164">
        <v>2410</v>
      </c>
      <c r="B66" s="168" t="s">
        <v>55</v>
      </c>
      <c r="C66" s="120">
        <f>ROUND(VLOOKUP(A66,'Contribution Allocation_Report'!$A$9:$D$311,4,FALSE)*'OPEB Amounts_Report'!$C$326,0)</f>
        <v>4507889</v>
      </c>
      <c r="D66" s="120">
        <f>ROUND(VLOOKUP(A66,'Contribution Allocation_Report'!$A$9:$D$311,4,FALSE)*'OPEB Amounts_Report'!$D$326,0)</f>
        <v>74979</v>
      </c>
      <c r="E66" s="120">
        <f>ROUND(VLOOKUP(A66,'Contribution Allocation_Report'!$A$9:$D$311,4,FALSE)*'OPEB Amounts_Report'!$E$326,0)</f>
        <v>62160</v>
      </c>
      <c r="F66" s="120">
        <f>ROUND(VLOOKUP(A66,'Contribution Allocation_Report'!$A$9:$D$311,4,FALSE)*'OPEB Amounts_Report'!$F$326,0)</f>
        <v>961877</v>
      </c>
      <c r="G66" s="130">
        <f>INDEX('Change in Proportion Layers'!$AC$8:$AC$324,MATCH('OPEB Amounts_Report'!A66,'Change in Proportion Layers'!$A$8:$A$324,0))</f>
        <v>446351</v>
      </c>
      <c r="H66" s="120">
        <f t="shared" si="1"/>
        <v>1545367</v>
      </c>
      <c r="I66" s="120"/>
      <c r="J66" s="120">
        <f>ROUND(VLOOKUP(A66,'Contribution Allocation_Report'!$A$9:$D$311,4,FALSE)*'OPEB Amounts_Report'!$J$326,0)</f>
        <v>668165</v>
      </c>
      <c r="K66" s="120">
        <f>ROUND(VLOOKUP(A66,'Contribution Allocation_Report'!$A$9:$D$311,4,FALSE)*'OPEB Amounts_Report'!$K$326,0)</f>
        <v>3341647</v>
      </c>
      <c r="L66" s="120">
        <f>INDEX('Change in Proportion Layers'!$AD$8:$AD$324,MATCH('OPEB Amounts_Report'!A66,'Change in Proportion Layers'!$A$8:$A$324,0))</f>
        <v>658837</v>
      </c>
      <c r="M66" s="120">
        <f t="shared" si="0"/>
        <v>4668649</v>
      </c>
      <c r="N66" s="121"/>
      <c r="O66" s="121">
        <f>ROUND(VLOOKUP(A66,'Contribution Allocation_Report'!$A$9:$D$311,4,FALSE)*'OPEB Amounts_Report'!$O$326,0)</f>
        <v>-948340</v>
      </c>
      <c r="P66" s="121">
        <f>INDEX('Change in Proportion Layers'!$AA$8:$AA$324,MATCH('OPEB Amounts_Report'!A66,'Change in Proportion Layers'!$A$8:$A$324,0))</f>
        <v>-255802</v>
      </c>
      <c r="Q66" s="121">
        <f t="shared" si="2"/>
        <v>-1204142</v>
      </c>
    </row>
    <row r="67" spans="1:17" ht="12" customHeight="1">
      <c r="A67" s="166">
        <v>2500</v>
      </c>
      <c r="B67" s="167" t="s">
        <v>56</v>
      </c>
      <c r="C67" s="122">
        <f>ROUND(VLOOKUP(A67,'Contribution Allocation_Report'!$A$9:$D$311,4,FALSE)*'OPEB Amounts_Report'!$C$326,0)</f>
        <v>722253</v>
      </c>
      <c r="D67" s="122">
        <f>ROUND(VLOOKUP(A67,'Contribution Allocation_Report'!$A$9:$D$311,4,FALSE)*'OPEB Amounts_Report'!$D$326,0)</f>
        <v>12013</v>
      </c>
      <c r="E67" s="122">
        <f>ROUND(VLOOKUP(A67,'Contribution Allocation_Report'!$A$9:$D$311,4,FALSE)*'OPEB Amounts_Report'!$E$326,0)</f>
        <v>9959</v>
      </c>
      <c r="F67" s="122">
        <f>ROUND(VLOOKUP(A67,'Contribution Allocation_Report'!$A$9:$D$311,4,FALSE)*'OPEB Amounts_Report'!$F$326,0)</f>
        <v>154112</v>
      </c>
      <c r="G67" s="122">
        <f>INDEX('Change in Proportion Layers'!$AC$8:$AC$324,MATCH('OPEB Amounts_Report'!A67,'Change in Proportion Layers'!$A$8:$A$324,0))</f>
        <v>155987</v>
      </c>
      <c r="H67" s="122">
        <f t="shared" si="1"/>
        <v>332071</v>
      </c>
      <c r="I67" s="122"/>
      <c r="J67" s="122">
        <f>ROUND(VLOOKUP(A67,'Contribution Allocation_Report'!$A$9:$D$311,4,FALSE)*'OPEB Amounts_Report'!$J$326,0)</f>
        <v>107053</v>
      </c>
      <c r="K67" s="122">
        <f>ROUND(VLOOKUP(A67,'Contribution Allocation_Report'!$A$9:$D$311,4,FALSE)*'OPEB Amounts_Report'!$K$326,0)</f>
        <v>535398</v>
      </c>
      <c r="L67" s="122">
        <f>INDEX('Change in Proportion Layers'!$AD$8:$AD$324,MATCH('OPEB Amounts_Report'!A67,'Change in Proportion Layers'!$A$8:$A$324,0))</f>
        <v>116209</v>
      </c>
      <c r="M67" s="122">
        <f t="shared" si="0"/>
        <v>758660</v>
      </c>
      <c r="N67" s="123"/>
      <c r="O67" s="123">
        <f>ROUND(VLOOKUP(A67,'Contribution Allocation_Report'!$A$9:$D$311,4,FALSE)*'OPEB Amounts_Report'!$O$326,0)</f>
        <v>-151943</v>
      </c>
      <c r="P67" s="123">
        <f>INDEX('Change in Proportion Layers'!$AA$8:$AA$324,MATCH('OPEB Amounts_Report'!A67,'Change in Proportion Layers'!$A$8:$A$324,0))</f>
        <v>15410</v>
      </c>
      <c r="Q67" s="123">
        <f t="shared" si="2"/>
        <v>-136533</v>
      </c>
    </row>
    <row r="68" spans="1:17" ht="12" customHeight="1">
      <c r="A68" s="164">
        <v>2550</v>
      </c>
      <c r="B68" s="168" t="s">
        <v>57</v>
      </c>
      <c r="C68" s="120">
        <f>ROUND(VLOOKUP(A68,'Contribution Allocation_Report'!$A$9:$D$311,4,FALSE)*'OPEB Amounts_Report'!$C$326,0)</f>
        <v>2706012</v>
      </c>
      <c r="D68" s="120">
        <f>ROUND(VLOOKUP(A68,'Contribution Allocation_Report'!$A$9:$D$311,4,FALSE)*'OPEB Amounts_Report'!$D$326,0)</f>
        <v>45009</v>
      </c>
      <c r="E68" s="120">
        <f>ROUND(VLOOKUP(A68,'Contribution Allocation_Report'!$A$9:$D$311,4,FALSE)*'OPEB Amounts_Report'!$E$326,0)</f>
        <v>37313</v>
      </c>
      <c r="F68" s="120">
        <f>ROUND(VLOOKUP(A68,'Contribution Allocation_Report'!$A$9:$D$311,4,FALSE)*'OPEB Amounts_Report'!$F$326,0)</f>
        <v>577399</v>
      </c>
      <c r="G68" s="120">
        <f>INDEX('Change in Proportion Layers'!$AC$8:$AC$324,MATCH('OPEB Amounts_Report'!A68,'Change in Proportion Layers'!$A$8:$A$324,0))</f>
        <v>6792</v>
      </c>
      <c r="H68" s="120">
        <f t="shared" si="1"/>
        <v>666513</v>
      </c>
      <c r="I68" s="120"/>
      <c r="J68" s="120">
        <f>ROUND(VLOOKUP(A68,'Contribution Allocation_Report'!$A$9:$D$311,4,FALSE)*'OPEB Amounts_Report'!$J$326,0)</f>
        <v>401088</v>
      </c>
      <c r="K68" s="120">
        <f>ROUND(VLOOKUP(A68,'Contribution Allocation_Report'!$A$9:$D$311,4,FALSE)*'OPEB Amounts_Report'!$K$326,0)</f>
        <v>2005936</v>
      </c>
      <c r="L68" s="120">
        <f>INDEX('Change in Proportion Layers'!$AD$8:$AD$324,MATCH('OPEB Amounts_Report'!A68,'Change in Proportion Layers'!$A$8:$A$324,0))</f>
        <v>360910</v>
      </c>
      <c r="M68" s="120">
        <f t="shared" si="0"/>
        <v>2767934</v>
      </c>
      <c r="N68" s="121"/>
      <c r="O68" s="121">
        <f>ROUND(VLOOKUP(A68,'Contribution Allocation_Report'!$A$9:$D$311,4,FALSE)*'OPEB Amounts_Report'!$O$326,0)</f>
        <v>-569273</v>
      </c>
      <c r="P68" s="121">
        <f>INDEX('Change in Proportion Layers'!$AA$8:$AA$324,MATCH('OPEB Amounts_Report'!A68,'Change in Proportion Layers'!$A$8:$A$324,0))</f>
        <v>-131669</v>
      </c>
      <c r="Q68" s="121">
        <f t="shared" si="2"/>
        <v>-700942</v>
      </c>
    </row>
    <row r="69" spans="1:17" ht="12" customHeight="1">
      <c r="A69" s="166">
        <v>2570</v>
      </c>
      <c r="B69" s="167" t="s">
        <v>58</v>
      </c>
      <c r="C69" s="122">
        <f>ROUND(VLOOKUP(A69,'Contribution Allocation_Report'!$A$9:$D$311,4,FALSE)*'OPEB Amounts_Report'!$C$326,0)</f>
        <v>1677337</v>
      </c>
      <c r="D69" s="122">
        <f>ROUND(VLOOKUP(A69,'Contribution Allocation_Report'!$A$9:$D$311,4,FALSE)*'OPEB Amounts_Report'!$D$326,0)</f>
        <v>27899</v>
      </c>
      <c r="E69" s="122">
        <f>ROUND(VLOOKUP(A69,'Contribution Allocation_Report'!$A$9:$D$311,4,FALSE)*'OPEB Amounts_Report'!$E$326,0)</f>
        <v>23129</v>
      </c>
      <c r="F69" s="122">
        <f>ROUND(VLOOKUP(A69,'Contribution Allocation_Report'!$A$9:$D$311,4,FALSE)*'OPEB Amounts_Report'!$F$326,0)</f>
        <v>357904</v>
      </c>
      <c r="G69" s="122">
        <f>INDEX('Change in Proportion Layers'!$AC$8:$AC$324,MATCH('OPEB Amounts_Report'!A69,'Change in Proportion Layers'!$A$8:$A$324,0))</f>
        <v>0</v>
      </c>
      <c r="H69" s="122">
        <f t="shared" si="1"/>
        <v>408932</v>
      </c>
      <c r="I69" s="122"/>
      <c r="J69" s="122">
        <f>ROUND(VLOOKUP(A69,'Contribution Allocation_Report'!$A$9:$D$311,4,FALSE)*'OPEB Amounts_Report'!$J$326,0)</f>
        <v>248617</v>
      </c>
      <c r="K69" s="122">
        <f>ROUND(VLOOKUP(A69,'Contribution Allocation_Report'!$A$9:$D$311,4,FALSE)*'OPEB Amounts_Report'!$K$326,0)</f>
        <v>1243391</v>
      </c>
      <c r="L69" s="122">
        <f>INDEX('Change in Proportion Layers'!$AD$8:$AD$324,MATCH('OPEB Amounts_Report'!A69,'Change in Proportion Layers'!$A$8:$A$324,0))</f>
        <v>308614</v>
      </c>
      <c r="M69" s="122">
        <f t="shared" si="0"/>
        <v>1800622</v>
      </c>
      <c r="N69" s="123"/>
      <c r="O69" s="123">
        <f>ROUND(VLOOKUP(A69,'Contribution Allocation_Report'!$A$9:$D$311,4,FALSE)*'OPEB Amounts_Report'!$O$326,0)</f>
        <v>-352867</v>
      </c>
      <c r="P69" s="123">
        <f>INDEX('Change in Proportion Layers'!$AA$8:$AA$324,MATCH('OPEB Amounts_Report'!A69,'Change in Proportion Layers'!$A$8:$A$324,0))</f>
        <v>-114550</v>
      </c>
      <c r="Q69" s="123">
        <f t="shared" si="2"/>
        <v>-467417</v>
      </c>
    </row>
    <row r="70" spans="1:17" ht="12" customHeight="1">
      <c r="A70" s="164">
        <v>2620</v>
      </c>
      <c r="B70" s="168" t="s">
        <v>59</v>
      </c>
      <c r="C70" s="120">
        <f>ROUND(VLOOKUP(A70,'Contribution Allocation_Report'!$A$9:$D$311,4,FALSE)*'OPEB Amounts_Report'!$C$326,0)</f>
        <v>16060106</v>
      </c>
      <c r="D70" s="120">
        <f>ROUND(VLOOKUP(A70,'Contribution Allocation_Report'!$A$9:$D$311,4,FALSE)*'OPEB Amounts_Report'!$D$326,0)</f>
        <v>267127</v>
      </c>
      <c r="E70" s="120">
        <f>ROUND(VLOOKUP(A70,'Contribution Allocation_Report'!$A$9:$D$311,4,FALSE)*'OPEB Amounts_Report'!$E$326,0)</f>
        <v>221454</v>
      </c>
      <c r="F70" s="120">
        <f>ROUND(VLOOKUP(A70,'Contribution Allocation_Report'!$A$9:$D$311,4,FALSE)*'OPEB Amounts_Report'!$F$326,0)</f>
        <v>3426846</v>
      </c>
      <c r="G70" s="120">
        <f>INDEX('Change in Proportion Layers'!$AC$8:$AC$324,MATCH('OPEB Amounts_Report'!A70,'Change in Proportion Layers'!$A$8:$A$324,0))</f>
        <v>417869</v>
      </c>
      <c r="H70" s="120">
        <f t="shared" si="1"/>
        <v>4333296</v>
      </c>
      <c r="I70" s="120"/>
      <c r="J70" s="120">
        <f>ROUND(VLOOKUP(A70,'Contribution Allocation_Report'!$A$9:$D$311,4,FALSE)*'OPEB Amounts_Report'!$J$326,0)</f>
        <v>2380449</v>
      </c>
      <c r="K70" s="120">
        <f>ROUND(VLOOKUP(A70,'Contribution Allocation_Report'!$A$9:$D$311,4,FALSE)*'OPEB Amounts_Report'!$K$326,0)</f>
        <v>11905176</v>
      </c>
      <c r="L70" s="130">
        <f>INDEX('Change in Proportion Layers'!$AD$8:$AD$324,MATCH('OPEB Amounts_Report'!A70,'Change in Proportion Layers'!$A$8:$A$324,0))</f>
        <v>1409727</v>
      </c>
      <c r="M70" s="120">
        <f t="shared" si="0"/>
        <v>15695352</v>
      </c>
      <c r="N70" s="121"/>
      <c r="O70" s="121">
        <f>ROUND(VLOOKUP(A70,'Contribution Allocation_Report'!$A$9:$D$311,4,FALSE)*'OPEB Amounts_Report'!$O$326,0)</f>
        <v>-3378621</v>
      </c>
      <c r="P70" s="121">
        <f>INDEX('Change in Proportion Layers'!$AA$8:$AA$324,MATCH('OPEB Amounts_Report'!A70,'Change in Proportion Layers'!$A$8:$A$324,0))</f>
        <v>-536057</v>
      </c>
      <c r="Q70" s="121">
        <f t="shared" si="2"/>
        <v>-3914678</v>
      </c>
    </row>
    <row r="71" spans="1:17" ht="12" customHeight="1">
      <c r="A71" s="166">
        <v>2630</v>
      </c>
      <c r="B71" s="167" t="s">
        <v>60</v>
      </c>
      <c r="C71" s="122">
        <f>ROUND(VLOOKUP(A71,'Contribution Allocation_Report'!$A$9:$D$311,4,FALSE)*'OPEB Amounts_Report'!$C$326,0)</f>
        <v>13743596</v>
      </c>
      <c r="D71" s="122">
        <f>ROUND(VLOOKUP(A71,'Contribution Allocation_Report'!$A$9:$D$311,4,FALSE)*'OPEB Amounts_Report'!$D$326,0)</f>
        <v>228596</v>
      </c>
      <c r="E71" s="122">
        <f>ROUND(VLOOKUP(A71,'Contribution Allocation_Report'!$A$9:$D$311,4,FALSE)*'OPEB Amounts_Report'!$E$326,0)</f>
        <v>189511</v>
      </c>
      <c r="F71" s="122">
        <f>ROUND(VLOOKUP(A71,'Contribution Allocation_Report'!$A$9:$D$311,4,FALSE)*'OPEB Amounts_Report'!$F$326,0)</f>
        <v>2932558</v>
      </c>
      <c r="G71" s="122">
        <f>INDEX('Change in Proportion Layers'!$AC$8:$AC$324,MATCH('OPEB Amounts_Report'!A71,'Change in Proportion Layers'!$A$8:$A$324,0))</f>
        <v>2219309</v>
      </c>
      <c r="H71" s="122">
        <f t="shared" si="1"/>
        <v>5569974</v>
      </c>
      <c r="I71" s="122"/>
      <c r="J71" s="122">
        <f>ROUND(VLOOKUP(A71,'Contribution Allocation_Report'!$A$9:$D$311,4,FALSE)*'OPEB Amounts_Report'!$J$326,0)</f>
        <v>2037093</v>
      </c>
      <c r="K71" s="122">
        <f>ROUND(VLOOKUP(A71,'Contribution Allocation_Report'!$A$9:$D$311,4,FALSE)*'OPEB Amounts_Report'!$K$326,0)</f>
        <v>10187973</v>
      </c>
      <c r="L71" s="122">
        <f>INDEX('Change in Proportion Layers'!$AD$8:$AD$324,MATCH('OPEB Amounts_Report'!A71,'Change in Proportion Layers'!$A$8:$A$324,0))</f>
        <v>1245986</v>
      </c>
      <c r="M71" s="122">
        <f t="shared" si="0"/>
        <v>13471052</v>
      </c>
      <c r="N71" s="123"/>
      <c r="O71" s="123">
        <f>ROUND(VLOOKUP(A71,'Contribution Allocation_Report'!$A$9:$D$311,4,FALSE)*'OPEB Amounts_Report'!$O$326,0)</f>
        <v>-2891289</v>
      </c>
      <c r="P71" s="123">
        <f>INDEX('Change in Proportion Layers'!$AA$8:$AA$324,MATCH('OPEB Amounts_Report'!A71,'Change in Proportion Layers'!$A$8:$A$324,0))</f>
        <v>395198</v>
      </c>
      <c r="Q71" s="123">
        <f t="shared" si="2"/>
        <v>-2496091</v>
      </c>
    </row>
    <row r="72" spans="1:17" ht="12" customHeight="1">
      <c r="A72" s="164">
        <v>2690</v>
      </c>
      <c r="B72" s="168" t="s">
        <v>61</v>
      </c>
      <c r="C72" s="120">
        <f>ROUND(VLOOKUP(A72,'Contribution Allocation_Report'!$A$9:$D$311,4,FALSE)*'OPEB Amounts_Report'!$C$326,0)</f>
        <v>31145376</v>
      </c>
      <c r="D72" s="120">
        <f>ROUND(VLOOKUP(A72,'Contribution Allocation_Report'!$A$9:$D$311,4,FALSE)*'OPEB Amounts_Report'!$D$326,0)</f>
        <v>518039</v>
      </c>
      <c r="E72" s="120">
        <f>ROUND(VLOOKUP(A72,'Contribution Allocation_Report'!$A$9:$D$311,4,FALSE)*'OPEB Amounts_Report'!$E$326,0)</f>
        <v>429466</v>
      </c>
      <c r="F72" s="120">
        <f>ROUND(VLOOKUP(A72,'Contribution Allocation_Report'!$A$9:$D$311,4,FALSE)*'OPEB Amounts_Report'!$F$326,0)</f>
        <v>6645685</v>
      </c>
      <c r="G72" s="120">
        <f>INDEX('Change in Proportion Layers'!$AC$8:$AC$324,MATCH('OPEB Amounts_Report'!A72,'Change in Proportion Layers'!$A$8:$A$324,0))</f>
        <v>503478</v>
      </c>
      <c r="H72" s="120">
        <f t="shared" si="1"/>
        <v>8096668</v>
      </c>
      <c r="I72" s="120"/>
      <c r="J72" s="120">
        <f>ROUND(VLOOKUP(A72,'Contribution Allocation_Report'!$A$9:$D$311,4,FALSE)*'OPEB Amounts_Report'!$J$326,0)</f>
        <v>4616406</v>
      </c>
      <c r="K72" s="120">
        <f>ROUND(VLOOKUP(A72,'Contribution Allocation_Report'!$A$9:$D$311,4,FALSE)*'OPEB Amounts_Report'!$K$326,0)</f>
        <v>23087717</v>
      </c>
      <c r="L72" s="120">
        <f>INDEX('Change in Proportion Layers'!$AD$8:$AD$324,MATCH('OPEB Amounts_Report'!A72,'Change in Proportion Layers'!$A$8:$A$324,0))</f>
        <v>7972141</v>
      </c>
      <c r="M72" s="120">
        <f t="shared" si="0"/>
        <v>35676264</v>
      </c>
      <c r="N72" s="121"/>
      <c r="O72" s="121">
        <f>ROUND(VLOOKUP(A72,'Contribution Allocation_Report'!$A$9:$D$311,4,FALSE)*'OPEB Amounts_Report'!$O$326,0)</f>
        <v>-6552163</v>
      </c>
      <c r="P72" s="121">
        <f>INDEX('Change in Proportion Layers'!$AA$8:$AA$324,MATCH('OPEB Amounts_Report'!A72,'Change in Proportion Layers'!$A$8:$A$324,0))</f>
        <v>-1892183</v>
      </c>
      <c r="Q72" s="121">
        <f t="shared" si="2"/>
        <v>-8444346</v>
      </c>
    </row>
    <row r="73" spans="1:17" ht="12" customHeight="1">
      <c r="A73" s="166">
        <v>2710</v>
      </c>
      <c r="B73" s="167" t="s">
        <v>62</v>
      </c>
      <c r="C73" s="122">
        <f>ROUND(VLOOKUP(A73,'Contribution Allocation_Report'!$A$9:$D$311,4,FALSE)*'OPEB Amounts_Report'!$C$326,0)</f>
        <v>508694</v>
      </c>
      <c r="D73" s="122">
        <f>ROUND(VLOOKUP(A73,'Contribution Allocation_Report'!$A$9:$D$311,4,FALSE)*'OPEB Amounts_Report'!$D$326,0)</f>
        <v>8461</v>
      </c>
      <c r="E73" s="122">
        <f>ROUND(VLOOKUP(A73,'Contribution Allocation_Report'!$A$9:$D$311,4,FALSE)*'OPEB Amounts_Report'!$E$326,0)</f>
        <v>7014</v>
      </c>
      <c r="F73" s="122">
        <f>ROUND(VLOOKUP(A73,'Contribution Allocation_Report'!$A$9:$D$311,4,FALSE)*'OPEB Amounts_Report'!$F$326,0)</f>
        <v>108543</v>
      </c>
      <c r="G73" s="122">
        <f>INDEX('Change in Proportion Layers'!$AC$8:$AC$324,MATCH('OPEB Amounts_Report'!A73,'Change in Proportion Layers'!$A$8:$A$324,0))</f>
        <v>6724</v>
      </c>
      <c r="H73" s="122">
        <f t="shared" si="1"/>
        <v>130742</v>
      </c>
      <c r="I73" s="122"/>
      <c r="J73" s="122">
        <f>ROUND(VLOOKUP(A73,'Contribution Allocation_Report'!$A$9:$D$311,4,FALSE)*'OPEB Amounts_Report'!$J$326,0)</f>
        <v>75399</v>
      </c>
      <c r="K73" s="122">
        <f>ROUND(VLOOKUP(A73,'Contribution Allocation_Report'!$A$9:$D$311,4,FALSE)*'OPEB Amounts_Report'!$K$326,0)</f>
        <v>377089</v>
      </c>
      <c r="L73" s="122">
        <f>INDEX('Change in Proportion Layers'!$AD$8:$AD$324,MATCH('OPEB Amounts_Report'!A73,'Change in Proportion Layers'!$A$8:$A$324,0))</f>
        <v>374392</v>
      </c>
      <c r="M73" s="122">
        <f t="shared" si="0"/>
        <v>826880</v>
      </c>
      <c r="N73" s="123"/>
      <c r="O73" s="123">
        <f>ROUND(VLOOKUP(A73,'Contribution Allocation_Report'!$A$9:$D$311,4,FALSE)*'OPEB Amounts_Report'!$O$326,0)</f>
        <v>-107016</v>
      </c>
      <c r="P73" s="123">
        <f>INDEX('Change in Proportion Layers'!$AA$8:$AA$324,MATCH('OPEB Amounts_Report'!A73,'Change in Proportion Layers'!$A$8:$A$324,0))</f>
        <v>-109788</v>
      </c>
      <c r="Q73" s="123">
        <f t="shared" si="2"/>
        <v>-216804</v>
      </c>
    </row>
    <row r="74" spans="1:17" ht="12" customHeight="1">
      <c r="A74" s="164">
        <v>2730</v>
      </c>
      <c r="B74" s="168" t="s">
        <v>63</v>
      </c>
      <c r="C74" s="120">
        <f>ROUND(VLOOKUP(A74,'Contribution Allocation_Report'!$A$9:$D$311,4,FALSE)*'OPEB Amounts_Report'!$C$326,0)</f>
        <v>2349505</v>
      </c>
      <c r="D74" s="120">
        <f>ROUND(VLOOKUP(A74,'Contribution Allocation_Report'!$A$9:$D$311,4,FALSE)*'OPEB Amounts_Report'!$D$326,0)</f>
        <v>39079</v>
      </c>
      <c r="E74" s="120">
        <f>ROUND(VLOOKUP(A74,'Contribution Allocation_Report'!$A$9:$D$311,4,FALSE)*'OPEB Amounts_Report'!$E$326,0)</f>
        <v>32397</v>
      </c>
      <c r="F74" s="120">
        <f>ROUND(VLOOKUP(A74,'Contribution Allocation_Report'!$A$9:$D$311,4,FALSE)*'OPEB Amounts_Report'!$F$326,0)</f>
        <v>501329</v>
      </c>
      <c r="G74" s="120">
        <f>INDEX('Change in Proportion Layers'!$AC$8:$AC$324,MATCH('OPEB Amounts_Report'!A74,'Change in Proportion Layers'!$A$8:$A$324,0))</f>
        <v>129174</v>
      </c>
      <c r="H74" s="120">
        <f t="shared" si="1"/>
        <v>701979</v>
      </c>
      <c r="I74" s="120"/>
      <c r="J74" s="120">
        <f>ROUND(VLOOKUP(A74,'Contribution Allocation_Report'!$A$9:$D$311,4,FALSE)*'OPEB Amounts_Report'!$J$326,0)</f>
        <v>348247</v>
      </c>
      <c r="K74" s="120">
        <f>ROUND(VLOOKUP(A74,'Contribution Allocation_Report'!$A$9:$D$311,4,FALSE)*'OPEB Amounts_Report'!$K$326,0)</f>
        <v>1741662</v>
      </c>
      <c r="L74" s="130">
        <f>INDEX('Change in Proportion Layers'!$AD$8:$AD$324,MATCH('OPEB Amounts_Report'!A74,'Change in Proportion Layers'!$A$8:$A$324,0))</f>
        <v>268110</v>
      </c>
      <c r="M74" s="120">
        <f t="shared" ref="M74:M137" si="3">SUM(J74:L74)</f>
        <v>2358019</v>
      </c>
      <c r="N74" s="121"/>
      <c r="O74" s="121">
        <f>ROUND(VLOOKUP(A74,'Contribution Allocation_Report'!$A$9:$D$311,4,FALSE)*'OPEB Amounts_Report'!$O$326,0)</f>
        <v>-494274</v>
      </c>
      <c r="P74" s="121">
        <f>INDEX('Change in Proportion Layers'!$AA$8:$AA$324,MATCH('OPEB Amounts_Report'!A74,'Change in Proportion Layers'!$A$8:$A$324,0))</f>
        <v>-98341</v>
      </c>
      <c r="Q74" s="121">
        <f t="shared" si="2"/>
        <v>-592615</v>
      </c>
    </row>
    <row r="75" spans="1:17" ht="12" customHeight="1">
      <c r="A75" s="166">
        <v>2950</v>
      </c>
      <c r="B75" s="167" t="s">
        <v>64</v>
      </c>
      <c r="C75" s="122">
        <f>ROUND(VLOOKUP(A75,'Contribution Allocation_Report'!$A$9:$D$311,4,FALSE)*'OPEB Amounts_Report'!$C$326,0)</f>
        <v>1931718</v>
      </c>
      <c r="D75" s="122">
        <f>ROUND(VLOOKUP(A75,'Contribution Allocation_Report'!$A$9:$D$311,4,FALSE)*'OPEB Amounts_Report'!$D$326,0)</f>
        <v>32130</v>
      </c>
      <c r="E75" s="122">
        <f>ROUND(VLOOKUP(A75,'Contribution Allocation_Report'!$A$9:$D$311,4,FALSE)*'OPEB Amounts_Report'!$E$326,0)</f>
        <v>26637</v>
      </c>
      <c r="F75" s="122">
        <f>ROUND(VLOOKUP(A75,'Contribution Allocation_Report'!$A$9:$D$311,4,FALSE)*'OPEB Amounts_Report'!$F$326,0)</f>
        <v>412183</v>
      </c>
      <c r="G75" s="122">
        <f>INDEX('Change in Proportion Layers'!$AC$8:$AC$324,MATCH('OPEB Amounts_Report'!A75,'Change in Proportion Layers'!$A$8:$A$324,0))</f>
        <v>251581</v>
      </c>
      <c r="H75" s="122">
        <f t="shared" ref="H75:H138" si="4">SUM(D75:G75)</f>
        <v>722531</v>
      </c>
      <c r="I75" s="122"/>
      <c r="J75" s="122">
        <f>ROUND(VLOOKUP(A75,'Contribution Allocation_Report'!$A$9:$D$311,4,FALSE)*'OPEB Amounts_Report'!$J$326,0)</f>
        <v>286322</v>
      </c>
      <c r="K75" s="122">
        <f>ROUND(VLOOKUP(A75,'Contribution Allocation_Report'!$A$9:$D$311,4,FALSE)*'OPEB Amounts_Report'!$K$326,0)</f>
        <v>1431961</v>
      </c>
      <c r="L75" s="122">
        <f>INDEX('Change in Proportion Layers'!$AD$8:$AD$324,MATCH('OPEB Amounts_Report'!A75,'Change in Proportion Layers'!$A$8:$A$324,0))</f>
        <v>287210</v>
      </c>
      <c r="M75" s="122">
        <f t="shared" si="3"/>
        <v>2005493</v>
      </c>
      <c r="N75" s="123"/>
      <c r="O75" s="123">
        <f>ROUND(VLOOKUP(A75,'Contribution Allocation_Report'!$A$9:$D$311,4,FALSE)*'OPEB Amounts_Report'!$O$326,0)</f>
        <v>-406382</v>
      </c>
      <c r="P75" s="123">
        <f>INDEX('Change in Proportion Layers'!$AA$8:$AA$324,MATCH('OPEB Amounts_Report'!A75,'Change in Proportion Layers'!$A$8:$A$324,0))</f>
        <v>111043</v>
      </c>
      <c r="Q75" s="123">
        <f t="shared" ref="Q75:Q138" si="5">+O75+P75</f>
        <v>-295339</v>
      </c>
    </row>
    <row r="76" spans="1:17" ht="12" customHeight="1">
      <c r="A76" s="164">
        <v>2760</v>
      </c>
      <c r="B76" s="168" t="s">
        <v>65</v>
      </c>
      <c r="C76" s="120">
        <f>ROUND(VLOOKUP(A76,'Contribution Allocation_Report'!$A$9:$D$311,4,FALSE)*'OPEB Amounts_Report'!$C$326,0)</f>
        <v>1726693</v>
      </c>
      <c r="D76" s="120">
        <f>ROUND(VLOOKUP(A76,'Contribution Allocation_Report'!$A$9:$D$311,4,FALSE)*'OPEB Amounts_Report'!$D$326,0)</f>
        <v>28720</v>
      </c>
      <c r="E76" s="120">
        <f>ROUND(VLOOKUP(A76,'Contribution Allocation_Report'!$A$9:$D$311,4,FALSE)*'OPEB Amounts_Report'!$E$326,0)</f>
        <v>23809</v>
      </c>
      <c r="F76" s="120">
        <f>ROUND(VLOOKUP(A76,'Contribution Allocation_Report'!$A$9:$D$311,4,FALSE)*'OPEB Amounts_Report'!$F$326,0)</f>
        <v>368435</v>
      </c>
      <c r="G76" s="120">
        <f>INDEX('Change in Proportion Layers'!$AC$8:$AC$324,MATCH('OPEB Amounts_Report'!A76,'Change in Proportion Layers'!$A$8:$A$324,0))</f>
        <v>214411</v>
      </c>
      <c r="H76" s="120">
        <f t="shared" si="4"/>
        <v>635375</v>
      </c>
      <c r="I76" s="120"/>
      <c r="J76" s="120">
        <f>ROUND(VLOOKUP(A76,'Contribution Allocation_Report'!$A$9:$D$311,4,FALSE)*'OPEB Amounts_Report'!$J$326,0)</f>
        <v>255933</v>
      </c>
      <c r="K76" s="120">
        <f>ROUND(VLOOKUP(A76,'Contribution Allocation_Report'!$A$9:$D$311,4,FALSE)*'OPEB Amounts_Report'!$K$326,0)</f>
        <v>1279978</v>
      </c>
      <c r="L76" s="130">
        <f>INDEX('Change in Proportion Layers'!$AD$8:$AD$324,MATCH('OPEB Amounts_Report'!A76,'Change in Proportion Layers'!$A$8:$A$324,0))</f>
        <v>312262</v>
      </c>
      <c r="M76" s="120">
        <f t="shared" si="3"/>
        <v>1848173</v>
      </c>
      <c r="N76" s="121"/>
      <c r="O76" s="121">
        <f>ROUND(VLOOKUP(A76,'Contribution Allocation_Report'!$A$9:$D$311,4,FALSE)*'OPEB Amounts_Report'!$O$326,0)</f>
        <v>-363251</v>
      </c>
      <c r="P76" s="121">
        <f>INDEX('Change in Proportion Layers'!$AA$8:$AA$324,MATCH('OPEB Amounts_Report'!A76,'Change in Proportion Layers'!$A$8:$A$324,0))</f>
        <v>-31544</v>
      </c>
      <c r="Q76" s="121">
        <f t="shared" si="5"/>
        <v>-394795</v>
      </c>
    </row>
    <row r="77" spans="1:17" ht="12" customHeight="1">
      <c r="A77" s="166">
        <v>2780</v>
      </c>
      <c r="B77" s="167" t="s">
        <v>66</v>
      </c>
      <c r="C77" s="122">
        <f>ROUND(VLOOKUP(A77,'Contribution Allocation_Report'!$A$9:$D$311,4,FALSE)*'OPEB Amounts_Report'!$C$326,0)</f>
        <v>137260</v>
      </c>
      <c r="D77" s="122">
        <f>ROUND(VLOOKUP(A77,'Contribution Allocation_Report'!$A$9:$D$311,4,FALSE)*'OPEB Amounts_Report'!$D$326,0)</f>
        <v>2283</v>
      </c>
      <c r="E77" s="122">
        <f>ROUND(VLOOKUP(A77,'Contribution Allocation_Report'!$A$9:$D$311,4,FALSE)*'OPEB Amounts_Report'!$E$326,0)</f>
        <v>1893</v>
      </c>
      <c r="F77" s="122">
        <f>ROUND(VLOOKUP(A77,'Contribution Allocation_Report'!$A$9:$D$311,4,FALSE)*'OPEB Amounts_Report'!$F$326,0)</f>
        <v>29288</v>
      </c>
      <c r="G77" s="131">
        <f>INDEX('Change in Proportion Layers'!$AC$8:$AC$324,MATCH('OPEB Amounts_Report'!A77,'Change in Proportion Layers'!$A$8:$A$324,0))</f>
        <v>21724</v>
      </c>
      <c r="H77" s="122">
        <f t="shared" si="4"/>
        <v>55188</v>
      </c>
      <c r="I77" s="122"/>
      <c r="J77" s="122">
        <f>ROUND(VLOOKUP(A77,'Contribution Allocation_Report'!$A$9:$D$311,4,FALSE)*'OPEB Amounts_Report'!$J$326,0)</f>
        <v>20345</v>
      </c>
      <c r="K77" s="122">
        <f>ROUND(VLOOKUP(A77,'Contribution Allocation_Report'!$A$9:$D$311,4,FALSE)*'OPEB Amounts_Report'!$K$326,0)</f>
        <v>101749</v>
      </c>
      <c r="L77" s="122">
        <f>INDEX('Change in Proportion Layers'!$AD$8:$AD$324,MATCH('OPEB Amounts_Report'!A77,'Change in Proportion Layers'!$A$8:$A$324,0))</f>
        <v>76722</v>
      </c>
      <c r="M77" s="122">
        <f t="shared" si="3"/>
        <v>198816</v>
      </c>
      <c r="N77" s="123"/>
      <c r="O77" s="123">
        <f>ROUND(VLOOKUP(A77,'Contribution Allocation_Report'!$A$9:$D$311,4,FALSE)*'OPEB Amounts_Report'!$O$326,0)</f>
        <v>-28876</v>
      </c>
      <c r="P77" s="123">
        <f>INDEX('Change in Proportion Layers'!$AA$8:$AA$324,MATCH('OPEB Amounts_Report'!A77,'Change in Proportion Layers'!$A$8:$A$324,0))</f>
        <v>-9737</v>
      </c>
      <c r="Q77" s="123">
        <f t="shared" si="5"/>
        <v>-38613</v>
      </c>
    </row>
    <row r="78" spans="1:17" ht="12" customHeight="1">
      <c r="A78" s="164">
        <v>2810</v>
      </c>
      <c r="B78" s="168" t="s">
        <v>67</v>
      </c>
      <c r="C78" s="120">
        <f>ROUND(VLOOKUP(A78,'Contribution Allocation_Report'!$A$9:$D$311,4,FALSE)*'OPEB Amounts_Report'!$C$326,0)</f>
        <v>1250858</v>
      </c>
      <c r="D78" s="120">
        <f>ROUND(VLOOKUP(A78,'Contribution Allocation_Report'!$A$9:$D$311,4,FALSE)*'OPEB Amounts_Report'!$D$326,0)</f>
        <v>20805</v>
      </c>
      <c r="E78" s="120">
        <f>ROUND(VLOOKUP(A78,'Contribution Allocation_Report'!$A$9:$D$311,4,FALSE)*'OPEB Amounts_Report'!$E$326,0)</f>
        <v>17248</v>
      </c>
      <c r="F78" s="120">
        <f>ROUND(VLOOKUP(A78,'Contribution Allocation_Report'!$A$9:$D$311,4,FALSE)*'OPEB Amounts_Report'!$F$326,0)</f>
        <v>266903</v>
      </c>
      <c r="G78" s="120">
        <f>INDEX('Change in Proportion Layers'!$AC$8:$AC$324,MATCH('OPEB Amounts_Report'!A78,'Change in Proportion Layers'!$A$8:$A$324,0))</f>
        <v>101607</v>
      </c>
      <c r="H78" s="120">
        <f t="shared" si="4"/>
        <v>406563</v>
      </c>
      <c r="I78" s="120"/>
      <c r="J78" s="120">
        <f>ROUND(VLOOKUP(A78,'Contribution Allocation_Report'!$A$9:$D$311,4,FALSE)*'OPEB Amounts_Report'!$J$326,0)</f>
        <v>185404</v>
      </c>
      <c r="K78" s="120">
        <f>ROUND(VLOOKUP(A78,'Contribution Allocation_Report'!$A$9:$D$311,4,FALSE)*'OPEB Amounts_Report'!$K$326,0)</f>
        <v>927247</v>
      </c>
      <c r="L78" s="130">
        <f>INDEX('Change in Proportion Layers'!$AD$8:$AD$324,MATCH('OPEB Amounts_Report'!A78,'Change in Proportion Layers'!$A$8:$A$324,0))</f>
        <v>980430</v>
      </c>
      <c r="M78" s="120">
        <f t="shared" si="3"/>
        <v>2093081</v>
      </c>
      <c r="N78" s="121"/>
      <c r="O78" s="121">
        <f>ROUND(VLOOKUP(A78,'Contribution Allocation_Report'!$A$9:$D$311,4,FALSE)*'OPEB Amounts_Report'!$O$326,0)</f>
        <v>-263147</v>
      </c>
      <c r="P78" s="121">
        <f>INDEX('Change in Proportion Layers'!$AA$8:$AA$324,MATCH('OPEB Amounts_Report'!A78,'Change in Proportion Layers'!$A$8:$A$324,0))</f>
        <v>-191757</v>
      </c>
      <c r="Q78" s="121">
        <f t="shared" si="5"/>
        <v>-454904</v>
      </c>
    </row>
    <row r="79" spans="1:17" ht="12" customHeight="1">
      <c r="A79" s="166">
        <v>18056</v>
      </c>
      <c r="B79" s="167" t="s">
        <v>68</v>
      </c>
      <c r="C79" s="122">
        <f>ROUND(VLOOKUP(A79,'Contribution Allocation_Report'!$A$9:$D$311,4,FALSE)*'OPEB Amounts_Report'!$C$326,0)</f>
        <v>1547518</v>
      </c>
      <c r="D79" s="122">
        <f>ROUND(VLOOKUP(A79,'Contribution Allocation_Report'!$A$9:$D$311,4,FALSE)*'OPEB Amounts_Report'!$D$326,0)</f>
        <v>25740</v>
      </c>
      <c r="E79" s="122">
        <f>ROUND(VLOOKUP(A79,'Contribution Allocation_Report'!$A$9:$D$311,4,FALSE)*'OPEB Amounts_Report'!$E$326,0)</f>
        <v>21339</v>
      </c>
      <c r="F79" s="122">
        <f>ROUND(VLOOKUP(A79,'Contribution Allocation_Report'!$A$9:$D$311,4,FALSE)*'OPEB Amounts_Report'!$F$326,0)</f>
        <v>330204</v>
      </c>
      <c r="G79" s="131">
        <f>INDEX('Change in Proportion Layers'!$AC$8:$AC$324,MATCH('OPEB Amounts_Report'!A79,'Change in Proportion Layers'!$A$8:$A$324,0))</f>
        <v>290542</v>
      </c>
      <c r="H79" s="122">
        <f t="shared" si="4"/>
        <v>667825</v>
      </c>
      <c r="I79" s="122"/>
      <c r="J79" s="122">
        <f>ROUND(VLOOKUP(A79,'Contribution Allocation_Report'!$A$9:$D$311,4,FALSE)*'OPEB Amounts_Report'!$J$326,0)</f>
        <v>229375</v>
      </c>
      <c r="K79" s="122">
        <f>ROUND(VLOOKUP(A79,'Contribution Allocation_Report'!$A$9:$D$311,4,FALSE)*'OPEB Amounts_Report'!$K$326,0)</f>
        <v>1147158</v>
      </c>
      <c r="L79" s="122">
        <f>INDEX('Change in Proportion Layers'!$AD$8:$AD$324,MATCH('OPEB Amounts_Report'!A79,'Change in Proportion Layers'!$A$8:$A$324,0))</f>
        <v>367529</v>
      </c>
      <c r="M79" s="122">
        <f t="shared" si="3"/>
        <v>1744062</v>
      </c>
      <c r="N79" s="123"/>
      <c r="O79" s="123">
        <f>ROUND(VLOOKUP(A79,'Contribution Allocation_Report'!$A$9:$D$311,4,FALSE)*'OPEB Amounts_Report'!$O$326,0)</f>
        <v>-325557</v>
      </c>
      <c r="P79" s="123">
        <f>INDEX('Change in Proportion Layers'!$AA$8:$AA$324,MATCH('OPEB Amounts_Report'!A79,'Change in Proportion Layers'!$A$8:$A$324,0))</f>
        <v>102717</v>
      </c>
      <c r="Q79" s="123">
        <f t="shared" si="5"/>
        <v>-222840</v>
      </c>
    </row>
    <row r="80" spans="1:17" ht="12" customHeight="1">
      <c r="A80" s="164">
        <v>15047</v>
      </c>
      <c r="B80" s="168" t="s">
        <v>69</v>
      </c>
      <c r="C80" s="120">
        <f>ROUND(VLOOKUP(A80,'Contribution Allocation_Report'!$A$9:$D$311,4,FALSE)*'OPEB Amounts_Report'!$C$326,0)</f>
        <v>1581606</v>
      </c>
      <c r="D80" s="120">
        <f>ROUND(VLOOKUP(A80,'Contribution Allocation_Report'!$A$9:$D$311,4,FALSE)*'OPEB Amounts_Report'!$D$326,0)</f>
        <v>26307</v>
      </c>
      <c r="E80" s="120">
        <f>ROUND(VLOOKUP(A80,'Contribution Allocation_Report'!$A$9:$D$311,4,FALSE)*'OPEB Amounts_Report'!$E$326,0)</f>
        <v>21809</v>
      </c>
      <c r="F80" s="120">
        <f>ROUND(VLOOKUP(A80,'Contribution Allocation_Report'!$A$9:$D$311,4,FALSE)*'OPEB Amounts_Report'!$F$326,0)</f>
        <v>337477</v>
      </c>
      <c r="G80" s="120">
        <f>INDEX('Change in Proportion Layers'!$AC$8:$AC$324,MATCH('OPEB Amounts_Report'!A80,'Change in Proportion Layers'!$A$8:$A$324,0))</f>
        <v>599380</v>
      </c>
      <c r="H80" s="120">
        <f t="shared" si="4"/>
        <v>984973</v>
      </c>
      <c r="I80" s="120"/>
      <c r="J80" s="120">
        <f>ROUND(VLOOKUP(A80,'Contribution Allocation_Report'!$A$9:$D$311,4,FALSE)*'OPEB Amounts_Report'!$J$326,0)</f>
        <v>234428</v>
      </c>
      <c r="K80" s="120">
        <f>ROUND(VLOOKUP(A80,'Contribution Allocation_Report'!$A$9:$D$311,4,FALSE)*'OPEB Amounts_Report'!$K$326,0)</f>
        <v>1172426</v>
      </c>
      <c r="L80" s="120">
        <f>INDEX('Change in Proportion Layers'!$AD$8:$AD$324,MATCH('OPEB Amounts_Report'!A80,'Change in Proportion Layers'!$A$8:$A$324,0))</f>
        <v>53463</v>
      </c>
      <c r="M80" s="120">
        <f t="shared" si="3"/>
        <v>1460317</v>
      </c>
      <c r="N80" s="121"/>
      <c r="O80" s="121">
        <f>ROUND(VLOOKUP(A80,'Contribution Allocation_Report'!$A$9:$D$311,4,FALSE)*'OPEB Amounts_Report'!$O$326,0)</f>
        <v>-332728</v>
      </c>
      <c r="P80" s="121">
        <f>INDEX('Change in Proportion Layers'!$AA$8:$AA$324,MATCH('OPEB Amounts_Report'!A80,'Change in Proportion Layers'!$A$8:$A$324,0))</f>
        <v>130514</v>
      </c>
      <c r="Q80" s="121">
        <f t="shared" si="5"/>
        <v>-202214</v>
      </c>
    </row>
    <row r="81" spans="1:17" ht="12" customHeight="1">
      <c r="A81" s="166">
        <v>5012</v>
      </c>
      <c r="B81" s="167" t="s">
        <v>70</v>
      </c>
      <c r="C81" s="122">
        <f>ROUND(VLOOKUP(A81,'Contribution Allocation_Report'!$A$9:$D$311,4,FALSE)*'OPEB Amounts_Report'!$C$326,0)</f>
        <v>23028705</v>
      </c>
      <c r="D81" s="122">
        <f>ROUND(VLOOKUP(A81,'Contribution Allocation_Report'!$A$9:$D$311,4,FALSE)*'OPEB Amounts_Report'!$D$326,0)</f>
        <v>383035</v>
      </c>
      <c r="E81" s="122">
        <f>ROUND(VLOOKUP(A81,'Contribution Allocation_Report'!$A$9:$D$311,4,FALSE)*'OPEB Amounts_Report'!$E$326,0)</f>
        <v>317544</v>
      </c>
      <c r="F81" s="122">
        <f>ROUND(VLOOKUP(A81,'Contribution Allocation_Report'!$A$9:$D$311,4,FALSE)*'OPEB Amounts_Report'!$F$326,0)</f>
        <v>4913780</v>
      </c>
      <c r="G81" s="122">
        <f>INDEX('Change in Proportion Layers'!$AC$8:$AC$324,MATCH('OPEB Amounts_Report'!A81,'Change in Proportion Layers'!$A$8:$A$324,0))</f>
        <v>2040466</v>
      </c>
      <c r="H81" s="122">
        <f t="shared" si="4"/>
        <v>7654825</v>
      </c>
      <c r="I81" s="122"/>
      <c r="J81" s="122">
        <f>ROUND(VLOOKUP(A81,'Contribution Allocation_Report'!$A$9:$D$311,4,FALSE)*'OPEB Amounts_Report'!$J$326,0)</f>
        <v>3413343</v>
      </c>
      <c r="K81" s="122">
        <f>ROUND(VLOOKUP(A81,'Contribution Allocation_Report'!$A$9:$D$311,4,FALSE)*'OPEB Amounts_Report'!$K$326,0)</f>
        <v>17070920</v>
      </c>
      <c r="L81" s="122">
        <f>INDEX('Change in Proportion Layers'!$AD$8:$AD$324,MATCH('OPEB Amounts_Report'!A81,'Change in Proportion Layers'!$A$8:$A$324,0))</f>
        <v>1238704</v>
      </c>
      <c r="M81" s="122">
        <f t="shared" si="3"/>
        <v>21722967</v>
      </c>
      <c r="N81" s="123"/>
      <c r="O81" s="123">
        <f>ROUND(VLOOKUP(A81,'Contribution Allocation_Report'!$A$9:$D$311,4,FALSE)*'OPEB Amounts_Report'!$O$326,0)</f>
        <v>-4844630</v>
      </c>
      <c r="P81" s="123">
        <f>INDEX('Change in Proportion Layers'!$AA$8:$AA$324,MATCH('OPEB Amounts_Report'!A81,'Change in Proportion Layers'!$A$8:$A$324,0))</f>
        <v>427306</v>
      </c>
      <c r="Q81" s="123">
        <f t="shared" si="5"/>
        <v>-4417324</v>
      </c>
    </row>
    <row r="82" spans="1:17" ht="12" customHeight="1">
      <c r="A82" s="164">
        <v>8024</v>
      </c>
      <c r="B82" s="168" t="s">
        <v>71</v>
      </c>
      <c r="C82" s="120">
        <f>ROUND(VLOOKUP(A82,'Contribution Allocation_Report'!$A$9:$D$311,4,FALSE)*'OPEB Amounts_Report'!$C$326,0)</f>
        <v>4657619</v>
      </c>
      <c r="D82" s="120">
        <f>ROUND(VLOOKUP(A82,'Contribution Allocation_Report'!$A$9:$D$311,4,FALSE)*'OPEB Amounts_Report'!$D$326,0)</f>
        <v>77470</v>
      </c>
      <c r="E82" s="120">
        <f>ROUND(VLOOKUP(A82,'Contribution Allocation_Report'!$A$9:$D$311,4,FALSE)*'OPEB Amounts_Report'!$E$326,0)</f>
        <v>64224</v>
      </c>
      <c r="F82" s="120">
        <f>ROUND(VLOOKUP(A82,'Contribution Allocation_Report'!$A$9:$D$311,4,FALSE)*'OPEB Amounts_Report'!$F$326,0)</f>
        <v>993825</v>
      </c>
      <c r="G82" s="120">
        <f>INDEX('Change in Proportion Layers'!$AC$8:$AC$324,MATCH('OPEB Amounts_Report'!A82,'Change in Proportion Layers'!$A$8:$A$324,0))</f>
        <v>691314</v>
      </c>
      <c r="H82" s="120">
        <f t="shared" si="4"/>
        <v>1826833</v>
      </c>
      <c r="I82" s="120"/>
      <c r="J82" s="120">
        <f>ROUND(VLOOKUP(A82,'Contribution Allocation_Report'!$A$9:$D$311,4,FALSE)*'OPEB Amounts_Report'!$J$326,0)</f>
        <v>690358</v>
      </c>
      <c r="K82" s="120">
        <f>ROUND(VLOOKUP(A82,'Contribution Allocation_Report'!$A$9:$D$311,4,FALSE)*'OPEB Amounts_Report'!$K$326,0)</f>
        <v>3452640</v>
      </c>
      <c r="L82" s="120">
        <f>INDEX('Change in Proportion Layers'!$AD$8:$AD$324,MATCH('OPEB Amounts_Report'!A82,'Change in Proportion Layers'!$A$8:$A$324,0))</f>
        <v>1135387</v>
      </c>
      <c r="M82" s="120">
        <f t="shared" si="3"/>
        <v>5278385</v>
      </c>
      <c r="N82" s="121"/>
      <c r="O82" s="121">
        <f>ROUND(VLOOKUP(A82,'Contribution Allocation_Report'!$A$9:$D$311,4,FALSE)*'OPEB Amounts_Report'!$O$326,0)</f>
        <v>-979840</v>
      </c>
      <c r="P82" s="121">
        <f>INDEX('Change in Proportion Layers'!$AA$8:$AA$324,MATCH('OPEB Amounts_Report'!A82,'Change in Proportion Layers'!$A$8:$A$324,0))</f>
        <v>182122</v>
      </c>
      <c r="Q82" s="121">
        <f t="shared" si="5"/>
        <v>-797718</v>
      </c>
    </row>
    <row r="83" spans="1:17" ht="12" customHeight="1">
      <c r="A83" s="166">
        <v>3050</v>
      </c>
      <c r="B83" s="167" t="s">
        <v>72</v>
      </c>
      <c r="C83" s="122">
        <f>ROUND(VLOOKUP(A83,'Contribution Allocation_Report'!$A$9:$D$311,4,FALSE)*'OPEB Amounts_Report'!$C$326,0)</f>
        <v>1563743</v>
      </c>
      <c r="D83" s="122">
        <f>ROUND(VLOOKUP(A83,'Contribution Allocation_Report'!$A$9:$D$311,4,FALSE)*'OPEB Amounts_Report'!$D$326,0)</f>
        <v>26010</v>
      </c>
      <c r="E83" s="122">
        <f>ROUND(VLOOKUP(A83,'Contribution Allocation_Report'!$A$9:$D$311,4,FALSE)*'OPEB Amounts_Report'!$E$326,0)</f>
        <v>21563</v>
      </c>
      <c r="F83" s="122">
        <f>ROUND(VLOOKUP(A83,'Contribution Allocation_Report'!$A$9:$D$311,4,FALSE)*'OPEB Amounts_Report'!$F$326,0)</f>
        <v>333666</v>
      </c>
      <c r="G83" s="122">
        <f>INDEX('Change in Proportion Layers'!$AC$8:$AC$324,MATCH('OPEB Amounts_Report'!A83,'Change in Proportion Layers'!$A$8:$A$324,0))</f>
        <v>159337</v>
      </c>
      <c r="H83" s="122">
        <f t="shared" si="4"/>
        <v>540576</v>
      </c>
      <c r="I83" s="122"/>
      <c r="J83" s="122">
        <f>ROUND(VLOOKUP(A83,'Contribution Allocation_Report'!$A$9:$D$311,4,FALSE)*'OPEB Amounts_Report'!$J$326,0)</f>
        <v>231780</v>
      </c>
      <c r="K83" s="122">
        <f>ROUND(VLOOKUP(A83,'Contribution Allocation_Report'!$A$9:$D$311,4,FALSE)*'OPEB Amounts_Report'!$K$326,0)</f>
        <v>1159185</v>
      </c>
      <c r="L83" s="122">
        <f>INDEX('Change in Proportion Layers'!$AD$8:$AD$324,MATCH('OPEB Amounts_Report'!A83,'Change in Proportion Layers'!$A$8:$A$324,0))</f>
        <v>217849</v>
      </c>
      <c r="M83" s="122">
        <f t="shared" si="3"/>
        <v>1608814</v>
      </c>
      <c r="N83" s="123"/>
      <c r="O83" s="123">
        <f>ROUND(VLOOKUP(A83,'Contribution Allocation_Report'!$A$9:$D$311,4,FALSE)*'OPEB Amounts_Report'!$O$326,0)</f>
        <v>-328970</v>
      </c>
      <c r="P83" s="123">
        <f>INDEX('Change in Proportion Layers'!$AA$8:$AA$324,MATCH('OPEB Amounts_Report'!A83,'Change in Proportion Layers'!$A$8:$A$324,0))</f>
        <v>8424</v>
      </c>
      <c r="Q83" s="123">
        <f t="shared" si="5"/>
        <v>-320546</v>
      </c>
    </row>
    <row r="84" spans="1:17" ht="12" customHeight="1">
      <c r="A84" s="164">
        <v>2421</v>
      </c>
      <c r="B84" s="168" t="s">
        <v>73</v>
      </c>
      <c r="C84" s="120">
        <f>ROUND(VLOOKUP(A84,'Contribution Allocation_Report'!$A$9:$D$311,4,FALSE)*'OPEB Amounts_Report'!$C$326,0)</f>
        <v>700134</v>
      </c>
      <c r="D84" s="120">
        <f>ROUND(VLOOKUP(A84,'Contribution Allocation_Report'!$A$9:$D$311,4,FALSE)*'OPEB Amounts_Report'!$D$326,0)</f>
        <v>11645</v>
      </c>
      <c r="E84" s="120">
        <f>ROUND(VLOOKUP(A84,'Contribution Allocation_Report'!$A$9:$D$311,4,FALSE)*'OPEB Amounts_Report'!$E$326,0)</f>
        <v>9654</v>
      </c>
      <c r="F84" s="120">
        <f>ROUND(VLOOKUP(A84,'Contribution Allocation_Report'!$A$9:$D$311,4,FALSE)*'OPEB Amounts_Report'!$F$326,0)</f>
        <v>149392</v>
      </c>
      <c r="G84" s="120">
        <f>INDEX('Change in Proportion Layers'!$AC$8:$AC$324,MATCH('OPEB Amounts_Report'!A84,'Change in Proportion Layers'!$A$8:$A$324,0))</f>
        <v>195198</v>
      </c>
      <c r="H84" s="120">
        <f t="shared" si="4"/>
        <v>365889</v>
      </c>
      <c r="I84" s="120"/>
      <c r="J84" s="120">
        <f>ROUND(VLOOKUP(A84,'Contribution Allocation_Report'!$A$9:$D$311,4,FALSE)*'OPEB Amounts_Report'!$J$326,0)</f>
        <v>103775</v>
      </c>
      <c r="K84" s="120">
        <f>ROUND(VLOOKUP(A84,'Contribution Allocation_Report'!$A$9:$D$311,4,FALSE)*'OPEB Amounts_Report'!$K$326,0)</f>
        <v>519002</v>
      </c>
      <c r="L84" s="120">
        <f>INDEX('Change in Proportion Layers'!$AD$8:$AD$324,MATCH('OPEB Amounts_Report'!A84,'Change in Proportion Layers'!$A$8:$A$324,0))</f>
        <v>46932</v>
      </c>
      <c r="M84" s="120">
        <f t="shared" si="3"/>
        <v>669709</v>
      </c>
      <c r="N84" s="121"/>
      <c r="O84" s="121">
        <f>ROUND(VLOOKUP(A84,'Contribution Allocation_Report'!$A$9:$D$311,4,FALSE)*'OPEB Amounts_Report'!$O$326,0)</f>
        <v>-147290</v>
      </c>
      <c r="P84" s="121">
        <f>INDEX('Change in Proportion Layers'!$AA$8:$AA$324,MATCH('OPEB Amounts_Report'!A84,'Change in Proportion Layers'!$A$8:$A$324,0))</f>
        <v>7250</v>
      </c>
      <c r="Q84" s="121">
        <f t="shared" si="5"/>
        <v>-140040</v>
      </c>
    </row>
    <row r="85" spans="1:17" ht="12" customHeight="1">
      <c r="A85" s="166">
        <v>26079</v>
      </c>
      <c r="B85" s="167" t="s">
        <v>74</v>
      </c>
      <c r="C85" s="122">
        <f>ROUND(VLOOKUP(A85,'Contribution Allocation_Report'!$A$9:$D$311,4,FALSE)*'OPEB Amounts_Report'!$C$326,0)</f>
        <v>516932</v>
      </c>
      <c r="D85" s="122">
        <f>ROUND(VLOOKUP(A85,'Contribution Allocation_Report'!$A$9:$D$311,4,FALSE)*'OPEB Amounts_Report'!$D$326,0)</f>
        <v>8598</v>
      </c>
      <c r="E85" s="122">
        <f>ROUND(VLOOKUP(A85,'Contribution Allocation_Report'!$A$9:$D$311,4,FALSE)*'OPEB Amounts_Report'!$E$326,0)</f>
        <v>7128</v>
      </c>
      <c r="F85" s="122">
        <f>ROUND(VLOOKUP(A85,'Contribution Allocation_Report'!$A$9:$D$311,4,FALSE)*'OPEB Amounts_Report'!$F$326,0)</f>
        <v>110301</v>
      </c>
      <c r="G85" s="122">
        <f>INDEX('Change in Proportion Layers'!$AC$8:$AC$324,MATCH('OPEB Amounts_Report'!A85,'Change in Proportion Layers'!$A$8:$A$324,0))</f>
        <v>16520</v>
      </c>
      <c r="H85" s="122">
        <f t="shared" si="4"/>
        <v>142547</v>
      </c>
      <c r="I85" s="122"/>
      <c r="J85" s="122">
        <f>ROUND(VLOOKUP(A85,'Contribution Allocation_Report'!$A$9:$D$311,4,FALSE)*'OPEB Amounts_Report'!$J$326,0)</f>
        <v>76620</v>
      </c>
      <c r="K85" s="122">
        <f>ROUND(VLOOKUP(A85,'Contribution Allocation_Report'!$A$9:$D$311,4,FALSE)*'OPEB Amounts_Report'!$K$326,0)</f>
        <v>383196</v>
      </c>
      <c r="L85" s="131">
        <f>INDEX('Change in Proportion Layers'!$AD$8:$AD$324,MATCH('OPEB Amounts_Report'!A85,'Change in Proportion Layers'!$A$8:$A$324,0))</f>
        <v>63119</v>
      </c>
      <c r="M85" s="122">
        <f t="shared" si="3"/>
        <v>522935</v>
      </c>
      <c r="N85" s="123"/>
      <c r="O85" s="123">
        <f>ROUND(VLOOKUP(A85,'Contribution Allocation_Report'!$A$9:$D$311,4,FALSE)*'OPEB Amounts_Report'!$O$326,0)</f>
        <v>-108749</v>
      </c>
      <c r="P85" s="123">
        <f>INDEX('Change in Proportion Layers'!$AA$8:$AA$324,MATCH('OPEB Amounts_Report'!A85,'Change in Proportion Layers'!$A$8:$A$324,0))</f>
        <v>-22374</v>
      </c>
      <c r="Q85" s="123">
        <f t="shared" si="5"/>
        <v>-131123</v>
      </c>
    </row>
    <row r="86" spans="1:17" ht="12" customHeight="1">
      <c r="A86" s="164">
        <v>2363</v>
      </c>
      <c r="B86" s="168" t="s">
        <v>75</v>
      </c>
      <c r="C86" s="120">
        <f>ROUND(VLOOKUP(A86,'Contribution Allocation_Report'!$A$9:$D$311,4,FALSE)*'OPEB Amounts_Report'!$C$326,0)</f>
        <v>673397</v>
      </c>
      <c r="D86" s="120">
        <f>ROUND(VLOOKUP(A86,'Contribution Allocation_Report'!$A$9:$D$311,4,FALSE)*'OPEB Amounts_Report'!$D$326,0)</f>
        <v>11201</v>
      </c>
      <c r="E86" s="120">
        <f>ROUND(VLOOKUP(A86,'Contribution Allocation_Report'!$A$9:$D$311,4,FALSE)*'OPEB Amounts_Report'!$E$326,0)</f>
        <v>9286</v>
      </c>
      <c r="F86" s="120">
        <f>ROUND(VLOOKUP(A86,'Contribution Allocation_Report'!$A$9:$D$311,4,FALSE)*'OPEB Amounts_Report'!$F$326,0)</f>
        <v>143687</v>
      </c>
      <c r="G86" s="120">
        <f>INDEX('Change in Proportion Layers'!$AC$8:$AC$324,MATCH('OPEB Amounts_Report'!A86,'Change in Proportion Layers'!$A$8:$A$324,0))</f>
        <v>33153</v>
      </c>
      <c r="H86" s="120">
        <f t="shared" si="4"/>
        <v>197327</v>
      </c>
      <c r="I86" s="120"/>
      <c r="J86" s="120">
        <f>ROUND(VLOOKUP(A86,'Contribution Allocation_Report'!$A$9:$D$311,4,FALSE)*'OPEB Amounts_Report'!$J$326,0)</f>
        <v>99812</v>
      </c>
      <c r="K86" s="120">
        <f>ROUND(VLOOKUP(A86,'Contribution Allocation_Report'!$A$9:$D$311,4,FALSE)*'OPEB Amounts_Report'!$K$326,0)</f>
        <v>499182</v>
      </c>
      <c r="L86" s="130">
        <f>INDEX('Change in Proportion Layers'!$AD$8:$AD$324,MATCH('OPEB Amounts_Report'!A86,'Change in Proportion Layers'!$A$8:$A$324,0))</f>
        <v>29870</v>
      </c>
      <c r="M86" s="120">
        <f t="shared" si="3"/>
        <v>628864</v>
      </c>
      <c r="N86" s="121"/>
      <c r="O86" s="121">
        <f>ROUND(VLOOKUP(A86,'Contribution Allocation_Report'!$A$9:$D$311,4,FALSE)*'OPEB Amounts_Report'!$O$326,0)</f>
        <v>-141665</v>
      </c>
      <c r="P86" s="121">
        <f>INDEX('Change in Proportion Layers'!$AA$8:$AA$324,MATCH('OPEB Amounts_Report'!A86,'Change in Proportion Layers'!$A$8:$A$324,0))</f>
        <v>-266</v>
      </c>
      <c r="Q86" s="121">
        <f t="shared" si="5"/>
        <v>-141931</v>
      </c>
    </row>
    <row r="87" spans="1:17" ht="12" customHeight="1">
      <c r="A87" s="166">
        <v>2364</v>
      </c>
      <c r="B87" s="167" t="s">
        <v>76</v>
      </c>
      <c r="C87" s="122">
        <f>ROUND(VLOOKUP(A87,'Contribution Allocation_Report'!$A$9:$D$311,4,FALSE)*'OPEB Amounts_Report'!$C$326,0)</f>
        <v>2094874</v>
      </c>
      <c r="D87" s="122">
        <f>ROUND(VLOOKUP(A87,'Contribution Allocation_Report'!$A$9:$D$311,4,FALSE)*'OPEB Amounts_Report'!$D$326,0)</f>
        <v>34844</v>
      </c>
      <c r="E87" s="122">
        <f>ROUND(VLOOKUP(A87,'Contribution Allocation_Report'!$A$9:$D$311,4,FALSE)*'OPEB Amounts_Report'!$E$326,0)</f>
        <v>28886</v>
      </c>
      <c r="F87" s="122">
        <f>ROUND(VLOOKUP(A87,'Contribution Allocation_Report'!$A$9:$D$311,4,FALSE)*'OPEB Amounts_Report'!$F$326,0)</f>
        <v>446996</v>
      </c>
      <c r="G87" s="122">
        <f>INDEX('Change in Proportion Layers'!$AC$8:$AC$324,MATCH('OPEB Amounts_Report'!A87,'Change in Proportion Layers'!$A$8:$A$324,0))</f>
        <v>792910</v>
      </c>
      <c r="H87" s="122">
        <f t="shared" si="4"/>
        <v>1303636</v>
      </c>
      <c r="I87" s="122"/>
      <c r="J87" s="122">
        <f>ROUND(VLOOKUP(A87,'Contribution Allocation_Report'!$A$9:$D$311,4,FALSE)*'OPEB Amounts_Report'!$J$326,0)</f>
        <v>310505</v>
      </c>
      <c r="K87" s="122">
        <f>ROUND(VLOOKUP(A87,'Contribution Allocation_Report'!$A$9:$D$311,4,FALSE)*'OPEB Amounts_Report'!$K$326,0)</f>
        <v>1552906</v>
      </c>
      <c r="L87" s="122">
        <f>INDEX('Change in Proportion Layers'!$AD$8:$AD$324,MATCH('OPEB Amounts_Report'!A87,'Change in Proportion Layers'!$A$8:$A$324,0))</f>
        <v>38299</v>
      </c>
      <c r="M87" s="122">
        <f t="shared" si="3"/>
        <v>1901710</v>
      </c>
      <c r="N87" s="123"/>
      <c r="O87" s="123">
        <f>ROUND(VLOOKUP(A87,'Contribution Allocation_Report'!$A$9:$D$311,4,FALSE)*'OPEB Amounts_Report'!$O$326,0)</f>
        <v>-440706</v>
      </c>
      <c r="P87" s="123">
        <f>INDEX('Change in Proportion Layers'!$AA$8:$AA$324,MATCH('OPEB Amounts_Report'!A87,'Change in Proportion Layers'!$A$8:$A$324,0))</f>
        <v>146318</v>
      </c>
      <c r="Q87" s="123">
        <f t="shared" si="5"/>
        <v>-294388</v>
      </c>
    </row>
    <row r="88" spans="1:17" ht="12" customHeight="1">
      <c r="A88" s="164">
        <v>25319</v>
      </c>
      <c r="B88" s="168" t="s">
        <v>77</v>
      </c>
      <c r="C88" s="120">
        <f>ROUND(VLOOKUP(A88,'Contribution Allocation_Report'!$A$9:$D$311,4,FALSE)*'OPEB Amounts_Report'!$C$326,0)</f>
        <v>540893</v>
      </c>
      <c r="D88" s="120">
        <f>ROUND(VLOOKUP(A88,'Contribution Allocation_Report'!$A$9:$D$311,4,FALSE)*'OPEB Amounts_Report'!$D$326,0)</f>
        <v>8997</v>
      </c>
      <c r="E88" s="120">
        <f>ROUND(VLOOKUP(A88,'Contribution Allocation_Report'!$A$9:$D$311,4,FALSE)*'OPEB Amounts_Report'!$E$326,0)</f>
        <v>7458</v>
      </c>
      <c r="F88" s="120">
        <f>ROUND(VLOOKUP(A88,'Contribution Allocation_Report'!$A$9:$D$311,4,FALSE)*'OPEB Amounts_Report'!$F$326,0)</f>
        <v>115414</v>
      </c>
      <c r="G88" s="120">
        <f>INDEX('Change in Proportion Layers'!$AC$8:$AC$324,MATCH('OPEB Amounts_Report'!A88,'Change in Proportion Layers'!$A$8:$A$324,0))</f>
        <v>97507</v>
      </c>
      <c r="H88" s="120">
        <f t="shared" si="4"/>
        <v>229376</v>
      </c>
      <c r="I88" s="120"/>
      <c r="J88" s="120">
        <f>ROUND(VLOOKUP(A88,'Contribution Allocation_Report'!$A$9:$D$311,4,FALSE)*'OPEB Amounts_Report'!$J$326,0)</f>
        <v>80172</v>
      </c>
      <c r="K88" s="120">
        <f>ROUND(VLOOKUP(A88,'Contribution Allocation_Report'!$A$9:$D$311,4,FALSE)*'OPEB Amounts_Report'!$K$326,0)</f>
        <v>400958</v>
      </c>
      <c r="L88" s="120">
        <f>INDEX('Change in Proportion Layers'!$AD$8:$AD$324,MATCH('OPEB Amounts_Report'!A88,'Change in Proportion Layers'!$A$8:$A$324,0))</f>
        <v>0</v>
      </c>
      <c r="M88" s="120">
        <f t="shared" si="3"/>
        <v>481130</v>
      </c>
      <c r="N88" s="121"/>
      <c r="O88" s="121">
        <f>ROUND(VLOOKUP(A88,'Contribution Allocation_Report'!$A$9:$D$311,4,FALSE)*'OPEB Amounts_Report'!$O$326,0)</f>
        <v>-113790</v>
      </c>
      <c r="P88" s="121">
        <f>INDEX('Change in Proportion Layers'!$AA$8:$AA$324,MATCH('OPEB Amounts_Report'!A88,'Change in Proportion Layers'!$A$8:$A$324,0))</f>
        <v>32422</v>
      </c>
      <c r="Q88" s="121">
        <f t="shared" si="5"/>
        <v>-81368</v>
      </c>
    </row>
    <row r="89" spans="1:17" ht="12" customHeight="1">
      <c r="A89" s="166">
        <v>29087</v>
      </c>
      <c r="B89" s="167" t="s">
        <v>78</v>
      </c>
      <c r="C89" s="122">
        <f>ROUND(VLOOKUP(A89,'Contribution Allocation_Report'!$A$9:$D$311,4,FALSE)*'OPEB Amounts_Report'!$C$326,0)</f>
        <v>3435433</v>
      </c>
      <c r="D89" s="122">
        <f>ROUND(VLOOKUP(A89,'Contribution Allocation_Report'!$A$9:$D$311,4,FALSE)*'OPEB Amounts_Report'!$D$326,0)</f>
        <v>57141</v>
      </c>
      <c r="E89" s="122">
        <f>ROUND(VLOOKUP(A89,'Contribution Allocation_Report'!$A$9:$D$311,4,FALSE)*'OPEB Amounts_Report'!$E$326,0)</f>
        <v>47371</v>
      </c>
      <c r="F89" s="122">
        <f>ROUND(VLOOKUP(A89,'Contribution Allocation_Report'!$A$9:$D$311,4,FALSE)*'OPEB Amounts_Report'!$F$326,0)</f>
        <v>733040</v>
      </c>
      <c r="G89" s="122">
        <f>INDEX('Change in Proportion Layers'!$AC$8:$AC$324,MATCH('OPEB Amounts_Report'!A89,'Change in Proportion Layers'!$A$8:$A$324,0))</f>
        <v>1186388</v>
      </c>
      <c r="H89" s="122">
        <f t="shared" si="4"/>
        <v>2023940</v>
      </c>
      <c r="I89" s="122"/>
      <c r="J89" s="122">
        <f>ROUND(VLOOKUP(A89,'Contribution Allocation_Report'!$A$9:$D$311,4,FALSE)*'OPEB Amounts_Report'!$J$326,0)</f>
        <v>509204</v>
      </c>
      <c r="K89" s="122">
        <f>ROUND(VLOOKUP(A89,'Contribution Allocation_Report'!$A$9:$D$311,4,FALSE)*'OPEB Amounts_Report'!$K$326,0)</f>
        <v>2546647</v>
      </c>
      <c r="L89" s="122">
        <f>INDEX('Change in Proportion Layers'!$AD$8:$AD$324,MATCH('OPEB Amounts_Report'!A89,'Change in Proportion Layers'!$A$8:$A$324,0))</f>
        <v>161011</v>
      </c>
      <c r="M89" s="122">
        <f t="shared" si="3"/>
        <v>3216862</v>
      </c>
      <c r="N89" s="123"/>
      <c r="O89" s="123">
        <f>ROUND(VLOOKUP(A89,'Contribution Allocation_Report'!$A$9:$D$311,4,FALSE)*'OPEB Amounts_Report'!$O$326,0)</f>
        <v>-722724</v>
      </c>
      <c r="P89" s="123">
        <f>INDEX('Change in Proportion Layers'!$AA$8:$AA$324,MATCH('OPEB Amounts_Report'!A89,'Change in Proportion Layers'!$A$8:$A$324,0))</f>
        <v>329248</v>
      </c>
      <c r="Q89" s="123">
        <f t="shared" si="5"/>
        <v>-393476</v>
      </c>
    </row>
    <row r="90" spans="1:17" ht="12" customHeight="1">
      <c r="A90" s="164">
        <v>3060</v>
      </c>
      <c r="B90" s="168" t="s">
        <v>79</v>
      </c>
      <c r="C90" s="120">
        <f>ROUND(VLOOKUP(A90,'Contribution Allocation_Report'!$A$9:$D$311,4,FALSE)*'OPEB Amounts_Report'!$C$326,0)</f>
        <v>2641774</v>
      </c>
      <c r="D90" s="120">
        <f>ROUND(VLOOKUP(A90,'Contribution Allocation_Report'!$A$9:$D$311,4,FALSE)*'OPEB Amounts_Report'!$D$326,0)</f>
        <v>43940</v>
      </c>
      <c r="E90" s="120">
        <f>ROUND(VLOOKUP(A90,'Contribution Allocation_Report'!$A$9:$D$311,4,FALSE)*'OPEB Amounts_Report'!$E$326,0)</f>
        <v>36428</v>
      </c>
      <c r="F90" s="120">
        <f>ROUND(VLOOKUP(A90,'Contribution Allocation_Report'!$A$9:$D$311,4,FALSE)*'OPEB Amounts_Report'!$F$326,0)</f>
        <v>563692</v>
      </c>
      <c r="G90" s="120">
        <f>INDEX('Change in Proportion Layers'!$AC$8:$AC$324,MATCH('OPEB Amounts_Report'!A90,'Change in Proportion Layers'!$A$8:$A$324,0))</f>
        <v>48452</v>
      </c>
      <c r="H90" s="120">
        <f t="shared" si="4"/>
        <v>692512</v>
      </c>
      <c r="I90" s="120"/>
      <c r="J90" s="120">
        <f>ROUND(VLOOKUP(A90,'Contribution Allocation_Report'!$A$9:$D$311,4,FALSE)*'OPEB Amounts_Report'!$J$326,0)</f>
        <v>391567</v>
      </c>
      <c r="K90" s="120">
        <f>ROUND(VLOOKUP(A90,'Contribution Allocation_Report'!$A$9:$D$311,4,FALSE)*'OPEB Amounts_Report'!$K$326,0)</f>
        <v>1958317</v>
      </c>
      <c r="L90" s="120">
        <f>INDEX('Change in Proportion Layers'!$AD$8:$AD$324,MATCH('OPEB Amounts_Report'!A90,'Change in Proportion Layers'!$A$8:$A$324,0))</f>
        <v>719292</v>
      </c>
      <c r="M90" s="120">
        <f t="shared" si="3"/>
        <v>3069176</v>
      </c>
      <c r="N90" s="121"/>
      <c r="O90" s="121">
        <f>ROUND(VLOOKUP(A90,'Contribution Allocation_Report'!$A$9:$D$311,4,FALSE)*'OPEB Amounts_Report'!$O$326,0)</f>
        <v>-555759</v>
      </c>
      <c r="P90" s="121">
        <f>INDEX('Change in Proportion Layers'!$AA$8:$AA$324,MATCH('OPEB Amounts_Report'!A90,'Change in Proportion Layers'!$A$8:$A$324,0))</f>
        <v>-186519</v>
      </c>
      <c r="Q90" s="121">
        <f t="shared" si="5"/>
        <v>-742278</v>
      </c>
    </row>
    <row r="91" spans="1:17" ht="12" customHeight="1">
      <c r="A91" s="166">
        <v>19301</v>
      </c>
      <c r="B91" s="167" t="s">
        <v>80</v>
      </c>
      <c r="C91" s="122">
        <f>ROUND(VLOOKUP(A91,'Contribution Allocation_Report'!$A$9:$D$311,4,FALSE)*'OPEB Amounts_Report'!$C$326,0)</f>
        <v>477133</v>
      </c>
      <c r="D91" s="122">
        <f>ROUND(VLOOKUP(A91,'Contribution Allocation_Report'!$A$9:$D$311,4,FALSE)*'OPEB Amounts_Report'!$D$326,0)</f>
        <v>7936</v>
      </c>
      <c r="E91" s="122">
        <f>ROUND(VLOOKUP(A91,'Contribution Allocation_Report'!$A$9:$D$311,4,FALSE)*'OPEB Amounts_Report'!$E$326,0)</f>
        <v>6579</v>
      </c>
      <c r="F91" s="122">
        <f>ROUND(VLOOKUP(A91,'Contribution Allocation_Report'!$A$9:$D$311,4,FALSE)*'OPEB Amounts_Report'!$F$326,0)</f>
        <v>101809</v>
      </c>
      <c r="G91" s="122">
        <f>INDEX('Change in Proportion Layers'!$AC$8:$AC$324,MATCH('OPEB Amounts_Report'!A91,'Change in Proportion Layers'!$A$8:$A$324,0))</f>
        <v>102001</v>
      </c>
      <c r="H91" s="122">
        <f t="shared" si="4"/>
        <v>218325</v>
      </c>
      <c r="I91" s="122"/>
      <c r="J91" s="122">
        <f>ROUND(VLOOKUP(A91,'Contribution Allocation_Report'!$A$9:$D$311,4,FALSE)*'OPEB Amounts_Report'!$J$326,0)</f>
        <v>70721</v>
      </c>
      <c r="K91" s="122">
        <f>ROUND(VLOOKUP(A91,'Contribution Allocation_Report'!$A$9:$D$311,4,FALSE)*'OPEB Amounts_Report'!$K$326,0)</f>
        <v>353693</v>
      </c>
      <c r="L91" s="131">
        <f>INDEX('Change in Proportion Layers'!$AD$8:$AD$324,MATCH('OPEB Amounts_Report'!A91,'Change in Proportion Layers'!$A$8:$A$324,0))</f>
        <v>104214</v>
      </c>
      <c r="M91" s="122">
        <f t="shared" si="3"/>
        <v>528628</v>
      </c>
      <c r="N91" s="123"/>
      <c r="O91" s="123">
        <f>ROUND(VLOOKUP(A91,'Contribution Allocation_Report'!$A$9:$D$311,4,FALSE)*'OPEB Amounts_Report'!$O$326,0)</f>
        <v>-100376</v>
      </c>
      <c r="P91" s="123">
        <f>INDEX('Change in Proportion Layers'!$AA$8:$AA$324,MATCH('OPEB Amounts_Report'!A91,'Change in Proportion Layers'!$A$8:$A$324,0))</f>
        <v>-24810</v>
      </c>
      <c r="Q91" s="123">
        <f t="shared" si="5"/>
        <v>-125186</v>
      </c>
    </row>
    <row r="92" spans="1:17" ht="12" customHeight="1">
      <c r="A92" s="164">
        <v>19059</v>
      </c>
      <c r="B92" s="168" t="s">
        <v>81</v>
      </c>
      <c r="C92" s="120">
        <f>ROUND(VLOOKUP(A92,'Contribution Allocation_Report'!$A$9:$D$311,4,FALSE)*'OPEB Amounts_Report'!$C$326,0)</f>
        <v>17600047</v>
      </c>
      <c r="D92" s="120">
        <f>ROUND(VLOOKUP(A92,'Contribution Allocation_Report'!$A$9:$D$311,4,FALSE)*'OPEB Amounts_Report'!$D$326,0)</f>
        <v>292741</v>
      </c>
      <c r="E92" s="120">
        <f>ROUND(VLOOKUP(A92,'Contribution Allocation_Report'!$A$9:$D$311,4,FALSE)*'OPEB Amounts_Report'!$E$326,0)</f>
        <v>242688</v>
      </c>
      <c r="F92" s="120">
        <f>ROUND(VLOOKUP(A92,'Contribution Allocation_Report'!$A$9:$D$311,4,FALSE)*'OPEB Amounts_Report'!$F$326,0)</f>
        <v>3755433</v>
      </c>
      <c r="G92" s="120">
        <f>INDEX('Change in Proportion Layers'!$AC$8:$AC$324,MATCH('OPEB Amounts_Report'!A92,'Change in Proportion Layers'!$A$8:$A$324,0))</f>
        <v>3702219</v>
      </c>
      <c r="H92" s="120">
        <f t="shared" si="4"/>
        <v>7993081</v>
      </c>
      <c r="I92" s="120"/>
      <c r="J92" s="120">
        <f>ROUND(VLOOKUP(A92,'Contribution Allocation_Report'!$A$9:$D$311,4,FALSE)*'OPEB Amounts_Report'!$J$326,0)</f>
        <v>2608701</v>
      </c>
      <c r="K92" s="120">
        <f>ROUND(VLOOKUP(A92,'Contribution Allocation_Report'!$A$9:$D$311,4,FALSE)*'OPEB Amounts_Report'!$K$326,0)</f>
        <v>13046716</v>
      </c>
      <c r="L92" s="130">
        <f>INDEX('Change in Proportion Layers'!$AD$8:$AD$324,MATCH('OPEB Amounts_Report'!A92,'Change in Proportion Layers'!$A$8:$A$324,0))</f>
        <v>442608</v>
      </c>
      <c r="M92" s="120">
        <f t="shared" si="3"/>
        <v>16098025</v>
      </c>
      <c r="N92" s="121"/>
      <c r="O92" s="121">
        <f>ROUND(VLOOKUP(A92,'Contribution Allocation_Report'!$A$9:$D$311,4,FALSE)*'OPEB Amounts_Report'!$O$326,0)</f>
        <v>-3702584</v>
      </c>
      <c r="P92" s="121">
        <f>INDEX('Change in Proportion Layers'!$AA$8:$AA$324,MATCH('OPEB Amounts_Report'!A92,'Change in Proportion Layers'!$A$8:$A$324,0))</f>
        <v>774956</v>
      </c>
      <c r="Q92" s="121">
        <f t="shared" si="5"/>
        <v>-2927628</v>
      </c>
    </row>
    <row r="93" spans="1:17" ht="12" customHeight="1">
      <c r="A93" s="166">
        <v>18057</v>
      </c>
      <c r="B93" s="167" t="s">
        <v>82</v>
      </c>
      <c r="C93" s="122">
        <f>ROUND(VLOOKUP(A93,'Contribution Allocation_Report'!$A$9:$D$311,4,FALSE)*'OPEB Amounts_Report'!$C$326,0)</f>
        <v>618420</v>
      </c>
      <c r="D93" s="122">
        <f>ROUND(VLOOKUP(A93,'Contribution Allocation_Report'!$A$9:$D$311,4,FALSE)*'OPEB Amounts_Report'!$D$326,0)</f>
        <v>10286</v>
      </c>
      <c r="E93" s="122">
        <f>ROUND(VLOOKUP(A93,'Contribution Allocation_Report'!$A$9:$D$311,4,FALSE)*'OPEB Amounts_Report'!$E$326,0)</f>
        <v>8527</v>
      </c>
      <c r="F93" s="122">
        <f>ROUND(VLOOKUP(A93,'Contribution Allocation_Report'!$A$9:$D$311,4,FALSE)*'OPEB Amounts_Report'!$F$326,0)</f>
        <v>131956</v>
      </c>
      <c r="G93" s="122">
        <f>INDEX('Change in Proportion Layers'!$AC$8:$AC$324,MATCH('OPEB Amounts_Report'!A93,'Change in Proportion Layers'!$A$8:$A$324,0))</f>
        <v>58581</v>
      </c>
      <c r="H93" s="122">
        <f t="shared" si="4"/>
        <v>209350</v>
      </c>
      <c r="I93" s="122"/>
      <c r="J93" s="122">
        <f>ROUND(VLOOKUP(A93,'Contribution Allocation_Report'!$A$9:$D$311,4,FALSE)*'OPEB Amounts_Report'!$J$326,0)</f>
        <v>91663</v>
      </c>
      <c r="K93" s="122">
        <f>ROUND(VLOOKUP(A93,'Contribution Allocation_Report'!$A$9:$D$311,4,FALSE)*'OPEB Amounts_Report'!$K$326,0)</f>
        <v>458428</v>
      </c>
      <c r="L93" s="122">
        <f>INDEX('Change in Proportion Layers'!$AD$8:$AD$324,MATCH('OPEB Amounts_Report'!A93,'Change in Proportion Layers'!$A$8:$A$324,0))</f>
        <v>26836</v>
      </c>
      <c r="M93" s="122">
        <f t="shared" si="3"/>
        <v>576927</v>
      </c>
      <c r="N93" s="123"/>
      <c r="O93" s="123">
        <f>ROUND(VLOOKUP(A93,'Contribution Allocation_Report'!$A$9:$D$311,4,FALSE)*'OPEB Amounts_Report'!$O$326,0)</f>
        <v>-130099</v>
      </c>
      <c r="P93" s="123">
        <f>INDEX('Change in Proportion Layers'!$AA$8:$AA$324,MATCH('OPEB Amounts_Report'!A93,'Change in Proportion Layers'!$A$8:$A$324,0))</f>
        <v>10949</v>
      </c>
      <c r="Q93" s="123">
        <f t="shared" si="5"/>
        <v>-119150</v>
      </c>
    </row>
    <row r="94" spans="1:17" ht="12" customHeight="1">
      <c r="A94" s="164">
        <v>4008</v>
      </c>
      <c r="B94" s="168" t="s">
        <v>83</v>
      </c>
      <c r="C94" s="120">
        <f>ROUND(VLOOKUP(A94,'Contribution Allocation_Report'!$A$9:$D$311,4,FALSE)*'OPEB Amounts_Report'!$C$326,0)</f>
        <v>2600473</v>
      </c>
      <c r="D94" s="120">
        <f>ROUND(VLOOKUP(A94,'Contribution Allocation_Report'!$A$9:$D$311,4,FALSE)*'OPEB Amounts_Report'!$D$326,0)</f>
        <v>43254</v>
      </c>
      <c r="E94" s="120">
        <f>ROUND(VLOOKUP(A94,'Contribution Allocation_Report'!$A$9:$D$311,4,FALSE)*'OPEB Amounts_Report'!$E$326,0)</f>
        <v>35858</v>
      </c>
      <c r="F94" s="120">
        <f>ROUND(VLOOKUP(A94,'Contribution Allocation_Report'!$A$9:$D$311,4,FALSE)*'OPEB Amounts_Report'!$F$326,0)</f>
        <v>554879</v>
      </c>
      <c r="G94" s="120">
        <f>INDEX('Change in Proportion Layers'!$AC$8:$AC$324,MATCH('OPEB Amounts_Report'!A94,'Change in Proportion Layers'!$A$8:$A$324,0))</f>
        <v>105727</v>
      </c>
      <c r="H94" s="120">
        <f t="shared" si="4"/>
        <v>739718</v>
      </c>
      <c r="I94" s="120"/>
      <c r="J94" s="120">
        <f>ROUND(VLOOKUP(A94,'Contribution Allocation_Report'!$A$9:$D$311,4,FALSE)*'OPEB Amounts_Report'!$J$326,0)</f>
        <v>385445</v>
      </c>
      <c r="K94" s="120">
        <f>ROUND(VLOOKUP(A94,'Contribution Allocation_Report'!$A$9:$D$311,4,FALSE)*'OPEB Amounts_Report'!$K$326,0)</f>
        <v>1927701</v>
      </c>
      <c r="L94" s="120">
        <f>INDEX('Change in Proportion Layers'!$AD$8:$AD$324,MATCH('OPEB Amounts_Report'!A94,'Change in Proportion Layers'!$A$8:$A$324,0))</f>
        <v>455920</v>
      </c>
      <c r="M94" s="120">
        <f t="shared" si="3"/>
        <v>2769066</v>
      </c>
      <c r="N94" s="121"/>
      <c r="O94" s="121">
        <f>ROUND(VLOOKUP(A94,'Contribution Allocation_Report'!$A$9:$D$311,4,FALSE)*'OPEB Amounts_Report'!$O$326,0)</f>
        <v>-547071</v>
      </c>
      <c r="P94" s="121">
        <f>INDEX('Change in Proportion Layers'!$AA$8:$AA$324,MATCH('OPEB Amounts_Report'!A94,'Change in Proportion Layers'!$A$8:$A$324,0))</f>
        <v>-219520</v>
      </c>
      <c r="Q94" s="121">
        <f t="shared" si="5"/>
        <v>-766591</v>
      </c>
    </row>
    <row r="95" spans="1:17" ht="12" customHeight="1">
      <c r="A95" s="166">
        <v>2350</v>
      </c>
      <c r="B95" s="167" t="s">
        <v>84</v>
      </c>
      <c r="C95" s="122">
        <f>ROUND(VLOOKUP(A95,'Contribution Allocation_Report'!$A$9:$D$311,4,FALSE)*'OPEB Amounts_Report'!$C$326,0)</f>
        <v>925935</v>
      </c>
      <c r="D95" s="122">
        <f>ROUND(VLOOKUP(A95,'Contribution Allocation_Report'!$A$9:$D$311,4,FALSE)*'OPEB Amounts_Report'!$D$326,0)</f>
        <v>15401</v>
      </c>
      <c r="E95" s="122">
        <f>ROUND(VLOOKUP(A95,'Contribution Allocation_Report'!$A$9:$D$311,4,FALSE)*'OPEB Amounts_Report'!$E$326,0)</f>
        <v>12768</v>
      </c>
      <c r="F95" s="122">
        <f>ROUND(VLOOKUP(A95,'Contribution Allocation_Report'!$A$9:$D$311,4,FALSE)*'OPEB Amounts_Report'!$F$326,0)</f>
        <v>197573</v>
      </c>
      <c r="G95" s="122">
        <f>INDEX('Change in Proportion Layers'!$AC$8:$AC$324,MATCH('OPEB Amounts_Report'!A95,'Change in Proportion Layers'!$A$8:$A$324,0))</f>
        <v>209253</v>
      </c>
      <c r="H95" s="122">
        <f t="shared" si="4"/>
        <v>434995</v>
      </c>
      <c r="I95" s="122"/>
      <c r="J95" s="122">
        <f>ROUND(VLOOKUP(A95,'Contribution Allocation_Report'!$A$9:$D$311,4,FALSE)*'OPEB Amounts_Report'!$J$326,0)</f>
        <v>137243</v>
      </c>
      <c r="K95" s="122">
        <f>ROUND(VLOOKUP(A95,'Contribution Allocation_Report'!$A$9:$D$311,4,FALSE)*'OPEB Amounts_Report'!$K$326,0)</f>
        <v>686385</v>
      </c>
      <c r="L95" s="131">
        <f>INDEX('Change in Proportion Layers'!$AD$8:$AD$324,MATCH('OPEB Amounts_Report'!A95,'Change in Proportion Layers'!$A$8:$A$324,0))</f>
        <v>34173</v>
      </c>
      <c r="M95" s="122">
        <f t="shared" si="3"/>
        <v>857801</v>
      </c>
      <c r="N95" s="123"/>
      <c r="O95" s="123">
        <f>ROUND(VLOOKUP(A95,'Contribution Allocation_Report'!$A$9:$D$311,4,FALSE)*'OPEB Amounts_Report'!$O$326,0)</f>
        <v>-194792</v>
      </c>
      <c r="P95" s="123">
        <f>INDEX('Change in Proportion Layers'!$AA$8:$AA$324,MATCH('OPEB Amounts_Report'!A95,'Change in Proportion Layers'!$A$8:$A$324,0))</f>
        <v>7930</v>
      </c>
      <c r="Q95" s="123">
        <f t="shared" si="5"/>
        <v>-186862</v>
      </c>
    </row>
    <row r="96" spans="1:17" ht="12" customHeight="1">
      <c r="A96" s="164">
        <v>11117</v>
      </c>
      <c r="B96" s="168" t="s">
        <v>85</v>
      </c>
      <c r="C96" s="120">
        <f>ROUND(VLOOKUP(A96,'Contribution Allocation_Report'!$A$9:$D$311,4,FALSE)*'OPEB Amounts_Report'!$C$326,0)</f>
        <v>927209</v>
      </c>
      <c r="D96" s="120">
        <f>ROUND(VLOOKUP(A96,'Contribution Allocation_Report'!$A$9:$D$311,4,FALSE)*'OPEB Amounts_Report'!$D$326,0)</f>
        <v>15422</v>
      </c>
      <c r="E96" s="120">
        <f>ROUND(VLOOKUP(A96,'Contribution Allocation_Report'!$A$9:$D$311,4,FALSE)*'OPEB Amounts_Report'!$E$326,0)</f>
        <v>12785</v>
      </c>
      <c r="F96" s="120">
        <f>ROUND(VLOOKUP(A96,'Contribution Allocation_Report'!$A$9:$D$311,4,FALSE)*'OPEB Amounts_Report'!$F$326,0)</f>
        <v>197844</v>
      </c>
      <c r="G96" s="120">
        <f>INDEX('Change in Proportion Layers'!$AC$8:$AC$324,MATCH('OPEB Amounts_Report'!A96,'Change in Proportion Layers'!$A$8:$A$324,0))</f>
        <v>37332</v>
      </c>
      <c r="H96" s="120">
        <f t="shared" si="4"/>
        <v>263383</v>
      </c>
      <c r="I96" s="120"/>
      <c r="J96" s="120">
        <f>ROUND(VLOOKUP(A96,'Contribution Allocation_Report'!$A$9:$D$311,4,FALSE)*'OPEB Amounts_Report'!$J$326,0)</f>
        <v>137432</v>
      </c>
      <c r="K96" s="120">
        <f>ROUND(VLOOKUP(A96,'Contribution Allocation_Report'!$A$9:$D$311,4,FALSE)*'OPEB Amounts_Report'!$K$326,0)</f>
        <v>687330</v>
      </c>
      <c r="L96" s="130">
        <f>INDEX('Change in Proportion Layers'!$AD$8:$AD$324,MATCH('OPEB Amounts_Report'!A96,'Change in Proportion Layers'!$A$8:$A$324,0))</f>
        <v>130249</v>
      </c>
      <c r="M96" s="120">
        <f t="shared" si="3"/>
        <v>955011</v>
      </c>
      <c r="N96" s="121"/>
      <c r="O96" s="121">
        <f>ROUND(VLOOKUP(A96,'Contribution Allocation_Report'!$A$9:$D$311,4,FALSE)*'OPEB Amounts_Report'!$O$326,0)</f>
        <v>-195060</v>
      </c>
      <c r="P96" s="121">
        <f>INDEX('Change in Proportion Layers'!$AA$8:$AA$324,MATCH('OPEB Amounts_Report'!A96,'Change in Proportion Layers'!$A$8:$A$324,0))</f>
        <v>-25766</v>
      </c>
      <c r="Q96" s="121">
        <f t="shared" si="5"/>
        <v>-220826</v>
      </c>
    </row>
    <row r="97" spans="1:17" ht="12" customHeight="1">
      <c r="A97" s="166">
        <v>16359</v>
      </c>
      <c r="B97" s="167" t="s">
        <v>86</v>
      </c>
      <c r="C97" s="122">
        <f>ROUND(VLOOKUP(A97,'Contribution Allocation_Report'!$A$9:$D$311,4,FALSE)*'OPEB Amounts_Report'!$C$326,0)</f>
        <v>177878</v>
      </c>
      <c r="D97" s="122">
        <f>ROUND(VLOOKUP(A97,'Contribution Allocation_Report'!$A$9:$D$311,4,FALSE)*'OPEB Amounts_Report'!$D$326,0)</f>
        <v>2959</v>
      </c>
      <c r="E97" s="122">
        <f>ROUND(VLOOKUP(A97,'Contribution Allocation_Report'!$A$9:$D$311,4,FALSE)*'OPEB Amounts_Report'!$E$326,0)</f>
        <v>2453</v>
      </c>
      <c r="F97" s="122">
        <f>ROUND(VLOOKUP(A97,'Contribution Allocation_Report'!$A$9:$D$311,4,FALSE)*'OPEB Amounts_Report'!$F$326,0)</f>
        <v>37955</v>
      </c>
      <c r="G97" s="122">
        <f>INDEX('Change in Proportion Layers'!$AC$8:$AC$324,MATCH('OPEB Amounts_Report'!A97,'Change in Proportion Layers'!$A$8:$A$324,0))</f>
        <v>80198</v>
      </c>
      <c r="H97" s="122">
        <f t="shared" si="4"/>
        <v>123565</v>
      </c>
      <c r="I97" s="122"/>
      <c r="J97" s="122">
        <f>ROUND(VLOOKUP(A97,'Contribution Allocation_Report'!$A$9:$D$311,4,FALSE)*'OPEB Amounts_Report'!$J$326,0)</f>
        <v>26365</v>
      </c>
      <c r="K97" s="122">
        <f>ROUND(VLOOKUP(A97,'Contribution Allocation_Report'!$A$9:$D$311,4,FALSE)*'OPEB Amounts_Report'!$K$326,0)</f>
        <v>131859</v>
      </c>
      <c r="L97" s="122">
        <f>INDEX('Change in Proportion Layers'!$AD$8:$AD$324,MATCH('OPEB Amounts_Report'!A97,'Change in Proportion Layers'!$A$8:$A$324,0))</f>
        <v>15593</v>
      </c>
      <c r="M97" s="122">
        <f t="shared" si="3"/>
        <v>173817</v>
      </c>
      <c r="N97" s="123"/>
      <c r="O97" s="123">
        <f>ROUND(VLOOKUP(A97,'Contribution Allocation_Report'!$A$9:$D$311,4,FALSE)*'OPEB Amounts_Report'!$O$326,0)</f>
        <v>-37421</v>
      </c>
      <c r="P97" s="123">
        <f>INDEX('Change in Proportion Layers'!$AA$8:$AA$324,MATCH('OPEB Amounts_Report'!A97,'Change in Proportion Layers'!$A$8:$A$324,0))</f>
        <v>20945</v>
      </c>
      <c r="Q97" s="123">
        <f t="shared" si="5"/>
        <v>-16476</v>
      </c>
    </row>
    <row r="98" spans="1:17" ht="12" customHeight="1">
      <c r="A98" s="164">
        <v>17115</v>
      </c>
      <c r="B98" s="168" t="s">
        <v>87</v>
      </c>
      <c r="C98" s="120">
        <f>ROUND(VLOOKUP(A98,'Contribution Allocation_Report'!$A$9:$D$311,4,FALSE)*'OPEB Amounts_Report'!$C$326,0)</f>
        <v>3021127</v>
      </c>
      <c r="D98" s="120">
        <f>ROUND(VLOOKUP(A98,'Contribution Allocation_Report'!$A$9:$D$311,4,FALSE)*'OPEB Amounts_Report'!$D$326,0)</f>
        <v>50250</v>
      </c>
      <c r="E98" s="120">
        <f>ROUND(VLOOKUP(A98,'Contribution Allocation_Report'!$A$9:$D$311,4,FALSE)*'OPEB Amounts_Report'!$E$326,0)</f>
        <v>41659</v>
      </c>
      <c r="F98" s="120">
        <f>ROUND(VLOOKUP(A98,'Contribution Allocation_Report'!$A$9:$D$311,4,FALSE)*'OPEB Amounts_Report'!$F$326,0)</f>
        <v>644637</v>
      </c>
      <c r="G98" s="120">
        <f>INDEX('Change in Proportion Layers'!$AC$8:$AC$324,MATCH('OPEB Amounts_Report'!A98,'Change in Proportion Layers'!$A$8:$A$324,0))</f>
        <v>522577</v>
      </c>
      <c r="H98" s="120">
        <f t="shared" si="4"/>
        <v>1259123</v>
      </c>
      <c r="I98" s="120"/>
      <c r="J98" s="120">
        <f>ROUND(VLOOKUP(A98,'Contribution Allocation_Report'!$A$9:$D$311,4,FALSE)*'OPEB Amounts_Report'!$J$326,0)</f>
        <v>447795</v>
      </c>
      <c r="K98" s="120">
        <f>ROUND(VLOOKUP(A98,'Contribution Allocation_Report'!$A$9:$D$311,4,FALSE)*'OPEB Amounts_Report'!$K$326,0)</f>
        <v>2239528</v>
      </c>
      <c r="L98" s="120">
        <f>INDEX('Change in Proportion Layers'!$AD$8:$AD$324,MATCH('OPEB Amounts_Report'!A98,'Change in Proportion Layers'!$A$8:$A$324,0))</f>
        <v>397443</v>
      </c>
      <c r="M98" s="120">
        <f t="shared" si="3"/>
        <v>3084766</v>
      </c>
      <c r="N98" s="121"/>
      <c r="O98" s="121">
        <f>ROUND(VLOOKUP(A98,'Contribution Allocation_Report'!$A$9:$D$311,4,FALSE)*'OPEB Amounts_Report'!$O$326,0)</f>
        <v>-635565</v>
      </c>
      <c r="P98" s="121">
        <f>INDEX('Change in Proportion Layers'!$AA$8:$AA$324,MATCH('OPEB Amounts_Report'!A98,'Change in Proportion Layers'!$A$8:$A$324,0))</f>
        <v>82751</v>
      </c>
      <c r="Q98" s="121">
        <f t="shared" si="5"/>
        <v>-552814</v>
      </c>
    </row>
    <row r="99" spans="1:17" ht="12" customHeight="1">
      <c r="A99" s="166">
        <v>32117</v>
      </c>
      <c r="B99" s="167" t="s">
        <v>88</v>
      </c>
      <c r="C99" s="122">
        <f>ROUND(VLOOKUP(A99,'Contribution Allocation_Report'!$A$9:$D$311,4,FALSE)*'OPEB Amounts_Report'!$C$326,0)</f>
        <v>189711</v>
      </c>
      <c r="D99" s="122">
        <f>ROUND(VLOOKUP(A99,'Contribution Allocation_Report'!$A$9:$D$311,4,FALSE)*'OPEB Amounts_Report'!$D$326,0)</f>
        <v>3155</v>
      </c>
      <c r="E99" s="122">
        <f>ROUND(VLOOKUP(A99,'Contribution Allocation_Report'!$A$9:$D$311,4,FALSE)*'OPEB Amounts_Report'!$E$326,0)</f>
        <v>2616</v>
      </c>
      <c r="F99" s="122">
        <f>ROUND(VLOOKUP(A99,'Contribution Allocation_Report'!$A$9:$D$311,4,FALSE)*'OPEB Amounts_Report'!$F$326,0)</f>
        <v>40480</v>
      </c>
      <c r="G99" s="122">
        <f>INDEX('Change in Proportion Layers'!$AC$8:$AC$324,MATCH('OPEB Amounts_Report'!A99,'Change in Proportion Layers'!$A$8:$A$324,0))</f>
        <v>75412</v>
      </c>
      <c r="H99" s="122">
        <f t="shared" si="4"/>
        <v>121663</v>
      </c>
      <c r="I99" s="122"/>
      <c r="J99" s="122">
        <f>ROUND(VLOOKUP(A99,'Contribution Allocation_Report'!$A$9:$D$311,4,FALSE)*'OPEB Amounts_Report'!$J$326,0)</f>
        <v>28119</v>
      </c>
      <c r="K99" s="122">
        <f>ROUND(VLOOKUP(A99,'Contribution Allocation_Report'!$A$9:$D$311,4,FALSE)*'OPEB Amounts_Report'!$K$326,0)</f>
        <v>140630</v>
      </c>
      <c r="L99" s="122">
        <f>INDEX('Change in Proportion Layers'!$AD$8:$AD$324,MATCH('OPEB Amounts_Report'!A99,'Change in Proportion Layers'!$A$8:$A$324,0))</f>
        <v>2069</v>
      </c>
      <c r="M99" s="122">
        <f t="shared" si="3"/>
        <v>170818</v>
      </c>
      <c r="N99" s="123"/>
      <c r="O99" s="123">
        <f>ROUND(VLOOKUP(A99,'Contribution Allocation_Report'!$A$9:$D$311,4,FALSE)*'OPEB Amounts_Report'!$O$326,0)</f>
        <v>-39910</v>
      </c>
      <c r="P99" s="123">
        <f>INDEX('Change in Proportion Layers'!$AA$8:$AA$324,MATCH('OPEB Amounts_Report'!A99,'Change in Proportion Layers'!$A$8:$A$324,0))</f>
        <v>35447</v>
      </c>
      <c r="Q99" s="123">
        <f t="shared" si="5"/>
        <v>-4463</v>
      </c>
    </row>
    <row r="100" spans="1:17" ht="12" customHeight="1">
      <c r="A100" s="164">
        <v>2304</v>
      </c>
      <c r="B100" s="168" t="s">
        <v>89</v>
      </c>
      <c r="C100" s="120">
        <f>ROUND(VLOOKUP(A100,'Contribution Allocation_Report'!$A$9:$D$311,4,FALSE)*'OPEB Amounts_Report'!$C$326,0)</f>
        <v>1336804</v>
      </c>
      <c r="D100" s="120">
        <f>ROUND(VLOOKUP(A100,'Contribution Allocation_Report'!$A$9:$D$311,4,FALSE)*'OPEB Amounts_Report'!$D$326,0)</f>
        <v>22235</v>
      </c>
      <c r="E100" s="120">
        <f>ROUND(VLOOKUP(A100,'Contribution Allocation_Report'!$A$9:$D$311,4,FALSE)*'OPEB Amounts_Report'!$E$326,0)</f>
        <v>18433</v>
      </c>
      <c r="F100" s="120">
        <f>ROUND(VLOOKUP(A100,'Contribution Allocation_Report'!$A$9:$D$311,4,FALSE)*'OPEB Amounts_Report'!$F$326,0)</f>
        <v>285242</v>
      </c>
      <c r="G100" s="120">
        <f>INDEX('Change in Proportion Layers'!$AC$8:$AC$324,MATCH('OPEB Amounts_Report'!A100,'Change in Proportion Layers'!$A$8:$A$324,0))</f>
        <v>472205</v>
      </c>
      <c r="H100" s="120">
        <f t="shared" si="4"/>
        <v>798115</v>
      </c>
      <c r="I100" s="120"/>
      <c r="J100" s="120">
        <f>ROUND(VLOOKUP(A100,'Contribution Allocation_Report'!$A$9:$D$311,4,FALSE)*'OPEB Amounts_Report'!$J$326,0)</f>
        <v>198143</v>
      </c>
      <c r="K100" s="120">
        <f>ROUND(VLOOKUP(A100,'Contribution Allocation_Report'!$A$9:$D$311,4,FALSE)*'OPEB Amounts_Report'!$K$326,0)</f>
        <v>990958</v>
      </c>
      <c r="L100" s="120">
        <f>INDEX('Change in Proportion Layers'!$AD$8:$AD$324,MATCH('OPEB Amounts_Report'!A100,'Change in Proportion Layers'!$A$8:$A$324,0))</f>
        <v>1539</v>
      </c>
      <c r="M100" s="120">
        <f t="shared" si="3"/>
        <v>1190640</v>
      </c>
      <c r="N100" s="121"/>
      <c r="O100" s="121">
        <f>ROUND(VLOOKUP(A100,'Contribution Allocation_Report'!$A$9:$D$311,4,FALSE)*'OPEB Amounts_Report'!$O$326,0)</f>
        <v>-281228</v>
      </c>
      <c r="P100" s="121">
        <f>INDEX('Change in Proportion Layers'!$AA$8:$AA$324,MATCH('OPEB Amounts_Report'!A100,'Change in Proportion Layers'!$A$8:$A$324,0))</f>
        <v>101421</v>
      </c>
      <c r="Q100" s="121">
        <f t="shared" si="5"/>
        <v>-179807</v>
      </c>
    </row>
    <row r="101" spans="1:17" ht="12" customHeight="1">
      <c r="A101" s="166">
        <v>11101</v>
      </c>
      <c r="B101" s="167" t="s">
        <v>91</v>
      </c>
      <c r="C101" s="122">
        <f>ROUND(VLOOKUP(A101,'Contribution Allocation_Report'!$A$9:$D$311,4,FALSE)*'OPEB Amounts_Report'!$C$326,0)</f>
        <v>15751977</v>
      </c>
      <c r="D101" s="122">
        <f>ROUND(VLOOKUP(A101,'Contribution Allocation_Report'!$A$9:$D$311,4,FALSE)*'OPEB Amounts_Report'!$D$326,0)</f>
        <v>262002</v>
      </c>
      <c r="E101" s="122">
        <f>ROUND(VLOOKUP(A101,'Contribution Allocation_Report'!$A$9:$D$311,4,FALSE)*'OPEB Amounts_Report'!$E$326,0)</f>
        <v>217205</v>
      </c>
      <c r="F101" s="122">
        <f>ROUND(VLOOKUP(A101,'Contribution Allocation_Report'!$A$9:$D$311,4,FALSE)*'OPEB Amounts_Report'!$F$326,0)</f>
        <v>3361098</v>
      </c>
      <c r="G101" s="122">
        <f>INDEX('Change in Proportion Layers'!$AC$8:$AC$324,MATCH('OPEB Amounts_Report'!A101,'Change in Proportion Layers'!$A$8:$A$324,0))</f>
        <v>2390834</v>
      </c>
      <c r="H101" s="122">
        <f t="shared" si="4"/>
        <v>6231139</v>
      </c>
      <c r="I101" s="122"/>
      <c r="J101" s="122">
        <f>ROUND(VLOOKUP(A101,'Contribution Allocation_Report'!$A$9:$D$311,4,FALSE)*'OPEB Amounts_Report'!$J$326,0)</f>
        <v>2334778</v>
      </c>
      <c r="K101" s="122">
        <f>ROUND(VLOOKUP(A101,'Contribution Allocation_Report'!$A$9:$D$311,4,FALSE)*'OPEB Amounts_Report'!$K$326,0)</f>
        <v>11676763</v>
      </c>
      <c r="L101" s="131">
        <f>INDEX('Change in Proportion Layers'!$AD$8:$AD$324,MATCH('OPEB Amounts_Report'!A101,'Change in Proportion Layers'!$A$8:$A$324,0))</f>
        <v>2259575</v>
      </c>
      <c r="M101" s="122">
        <f t="shared" si="3"/>
        <v>16271116</v>
      </c>
      <c r="N101" s="123"/>
      <c r="O101" s="123">
        <f>ROUND(VLOOKUP(A101,'Contribution Allocation_Report'!$A$9:$D$311,4,FALSE)*'OPEB Amounts_Report'!$O$326,0)</f>
        <v>-3313799</v>
      </c>
      <c r="P101" s="123">
        <f>INDEX('Change in Proportion Layers'!$AA$8:$AA$324,MATCH('OPEB Amounts_Report'!A101,'Change in Proportion Layers'!$A$8:$A$324,0))</f>
        <v>-456017</v>
      </c>
      <c r="Q101" s="123">
        <f t="shared" si="5"/>
        <v>-3769816</v>
      </c>
    </row>
    <row r="102" spans="1:17" ht="12" customHeight="1">
      <c r="A102" s="164">
        <v>11102</v>
      </c>
      <c r="B102" s="168" t="s">
        <v>90</v>
      </c>
      <c r="C102" s="120">
        <f>ROUND(VLOOKUP(A102,'Contribution Allocation_Report'!$A$9:$D$311,4,FALSE)*'OPEB Amounts_Report'!$C$326,0)</f>
        <v>4794082</v>
      </c>
      <c r="D102" s="120">
        <f>ROUND(VLOOKUP(A102,'Contribution Allocation_Report'!$A$9:$D$311,4,FALSE)*'OPEB Amounts_Report'!$D$326,0)</f>
        <v>79740</v>
      </c>
      <c r="E102" s="120">
        <f>ROUND(VLOOKUP(A102,'Contribution Allocation_Report'!$A$9:$D$311,4,FALSE)*'OPEB Amounts_Report'!$E$326,0)</f>
        <v>66106</v>
      </c>
      <c r="F102" s="120">
        <f>ROUND(VLOOKUP(A102,'Contribution Allocation_Report'!$A$9:$D$311,4,FALSE)*'OPEB Amounts_Report'!$F$326,0)</f>
        <v>1022943</v>
      </c>
      <c r="G102" s="120">
        <f>INDEX('Change in Proportion Layers'!$AC$8:$AC$324,MATCH('OPEB Amounts_Report'!A102,'Change in Proportion Layers'!$A$8:$A$324,0))</f>
        <v>307172</v>
      </c>
      <c r="H102" s="120">
        <f t="shared" si="4"/>
        <v>1475961</v>
      </c>
      <c r="I102" s="120"/>
      <c r="J102" s="120">
        <f>ROUND(VLOOKUP(A102,'Contribution Allocation_Report'!$A$9:$D$311,4,FALSE)*'OPEB Amounts_Report'!$J$326,0)</f>
        <v>710585</v>
      </c>
      <c r="K102" s="120">
        <f>ROUND(VLOOKUP(A102,'Contribution Allocation_Report'!$A$9:$D$311,4,FALSE)*'OPEB Amounts_Report'!$K$326,0)</f>
        <v>3553799</v>
      </c>
      <c r="L102" s="130">
        <f>INDEX('Change in Proportion Layers'!$AD$8:$AD$324,MATCH('OPEB Amounts_Report'!A102,'Change in Proportion Layers'!$A$8:$A$324,0))</f>
        <v>1005649</v>
      </c>
      <c r="M102" s="120">
        <f t="shared" si="3"/>
        <v>5270033</v>
      </c>
      <c r="N102" s="121"/>
      <c r="O102" s="121">
        <f>ROUND(VLOOKUP(A102,'Contribution Allocation_Report'!$A$9:$D$311,4,FALSE)*'OPEB Amounts_Report'!$O$326,0)</f>
        <v>-1008548</v>
      </c>
      <c r="P102" s="121">
        <f>INDEX('Change in Proportion Layers'!$AA$8:$AA$324,MATCH('OPEB Amounts_Report'!A102,'Change in Proportion Layers'!$A$8:$A$324,0))</f>
        <v>-273041</v>
      </c>
      <c r="Q102" s="121">
        <f t="shared" si="5"/>
        <v>-1281589</v>
      </c>
    </row>
    <row r="103" spans="1:17" ht="12" customHeight="1">
      <c r="A103" s="166">
        <v>3100</v>
      </c>
      <c r="B103" s="167" t="s">
        <v>92</v>
      </c>
      <c r="C103" s="122">
        <f>ROUND(VLOOKUP(A103,'Contribution Allocation_Report'!$A$9:$D$311,4,FALSE)*'OPEB Amounts_Report'!$C$326,0)</f>
        <v>10075878</v>
      </c>
      <c r="D103" s="122">
        <f>ROUND(VLOOKUP(A103,'Contribution Allocation_Report'!$A$9:$D$311,4,FALSE)*'OPEB Amounts_Report'!$D$326,0)</f>
        <v>167591</v>
      </c>
      <c r="E103" s="122">
        <f>ROUND(VLOOKUP(A103,'Contribution Allocation_Report'!$A$9:$D$311,4,FALSE)*'OPEB Amounts_Report'!$E$326,0)</f>
        <v>138937</v>
      </c>
      <c r="F103" s="122">
        <f>ROUND(VLOOKUP(A103,'Contribution Allocation_Report'!$A$9:$D$311,4,FALSE)*'OPEB Amounts_Report'!$F$326,0)</f>
        <v>2149953</v>
      </c>
      <c r="G103" s="122">
        <f>INDEX('Change in Proportion Layers'!$AC$8:$AC$324,MATCH('OPEB Amounts_Report'!A103,'Change in Proportion Layers'!$A$8:$A$324,0))</f>
        <v>1469774</v>
      </c>
      <c r="H103" s="122">
        <f t="shared" si="4"/>
        <v>3926255</v>
      </c>
      <c r="I103" s="122"/>
      <c r="J103" s="122">
        <f>ROUND(VLOOKUP(A103,'Contribution Allocation_Report'!$A$9:$D$311,4,FALSE)*'OPEB Amounts_Report'!$J$326,0)</f>
        <v>1493459</v>
      </c>
      <c r="K103" s="122">
        <f>ROUND(VLOOKUP(A103,'Contribution Allocation_Report'!$A$9:$D$311,4,FALSE)*'OPEB Amounts_Report'!$K$326,0)</f>
        <v>7469135</v>
      </c>
      <c r="L103" s="131">
        <f>INDEX('Change in Proportion Layers'!$AD$8:$AD$324,MATCH('OPEB Amounts_Report'!A103,'Change in Proportion Layers'!$A$8:$A$324,0))</f>
        <v>931507</v>
      </c>
      <c r="M103" s="122">
        <f t="shared" si="3"/>
        <v>9894101</v>
      </c>
      <c r="N103" s="123"/>
      <c r="O103" s="123">
        <f>ROUND(VLOOKUP(A103,'Contribution Allocation_Report'!$A$9:$D$311,4,FALSE)*'OPEB Amounts_Report'!$O$326,0)</f>
        <v>-2119698</v>
      </c>
      <c r="P103" s="123">
        <f>INDEX('Change in Proportion Layers'!$AA$8:$AA$324,MATCH('OPEB Amounts_Report'!A103,'Change in Proportion Layers'!$A$8:$A$324,0))</f>
        <v>270172</v>
      </c>
      <c r="Q103" s="123">
        <f t="shared" si="5"/>
        <v>-1849526</v>
      </c>
    </row>
    <row r="104" spans="1:17" ht="12" customHeight="1">
      <c r="A104" s="164">
        <v>2323</v>
      </c>
      <c r="B104" s="168" t="s">
        <v>93</v>
      </c>
      <c r="C104" s="120">
        <f>ROUND(VLOOKUP(A104,'Contribution Allocation_Report'!$A$9:$D$311,4,FALSE)*'OPEB Amounts_Report'!$C$326,0)</f>
        <v>1027583</v>
      </c>
      <c r="D104" s="120">
        <f>ROUND(VLOOKUP(A104,'Contribution Allocation_Report'!$A$9:$D$311,4,FALSE)*'OPEB Amounts_Report'!$D$326,0)</f>
        <v>17092</v>
      </c>
      <c r="E104" s="120">
        <f>ROUND(VLOOKUP(A104,'Contribution Allocation_Report'!$A$9:$D$311,4,FALSE)*'OPEB Amounts_Report'!$E$326,0)</f>
        <v>14169</v>
      </c>
      <c r="F104" s="120">
        <f>ROUND(VLOOKUP(A104,'Contribution Allocation_Report'!$A$9:$D$311,4,FALSE)*'OPEB Amounts_Report'!$F$326,0)</f>
        <v>219262</v>
      </c>
      <c r="G104" s="120">
        <f>INDEX('Change in Proportion Layers'!$AC$8:$AC$324,MATCH('OPEB Amounts_Report'!A104,'Change in Proportion Layers'!$A$8:$A$324,0))</f>
        <v>174524</v>
      </c>
      <c r="H104" s="120">
        <f t="shared" si="4"/>
        <v>425047</v>
      </c>
      <c r="I104" s="120"/>
      <c r="J104" s="120">
        <f>ROUND(VLOOKUP(A104,'Contribution Allocation_Report'!$A$9:$D$311,4,FALSE)*'OPEB Amounts_Report'!$J$326,0)</f>
        <v>152310</v>
      </c>
      <c r="K104" s="120">
        <f>ROUND(VLOOKUP(A104,'Contribution Allocation_Report'!$A$9:$D$311,4,FALSE)*'OPEB Amounts_Report'!$K$326,0)</f>
        <v>761736</v>
      </c>
      <c r="L104" s="130">
        <f>INDEX('Change in Proportion Layers'!$AD$8:$AD$324,MATCH('OPEB Amounts_Report'!A104,'Change in Proportion Layers'!$A$8:$A$324,0))</f>
        <v>23537</v>
      </c>
      <c r="M104" s="120">
        <f t="shared" si="3"/>
        <v>937583</v>
      </c>
      <c r="N104" s="121"/>
      <c r="O104" s="121">
        <f>ROUND(VLOOKUP(A104,'Contribution Allocation_Report'!$A$9:$D$311,4,FALSE)*'OPEB Amounts_Report'!$O$326,0)</f>
        <v>-216176</v>
      </c>
      <c r="P104" s="121">
        <f>INDEX('Change in Proportion Layers'!$AA$8:$AA$324,MATCH('OPEB Amounts_Report'!A104,'Change in Proportion Layers'!$A$8:$A$324,0))</f>
        <v>32658</v>
      </c>
      <c r="Q104" s="121">
        <f t="shared" si="5"/>
        <v>-183518</v>
      </c>
    </row>
    <row r="105" spans="1:17" ht="12" customHeight="1">
      <c r="A105" s="166">
        <v>11034</v>
      </c>
      <c r="B105" s="167" t="s">
        <v>94</v>
      </c>
      <c r="C105" s="122">
        <f>ROUND(VLOOKUP(A105,'Contribution Allocation_Report'!$A$9:$D$311,4,FALSE)*'OPEB Amounts_Report'!$C$326,0)</f>
        <v>689849</v>
      </c>
      <c r="D105" s="122">
        <f>ROUND(VLOOKUP(A105,'Contribution Allocation_Report'!$A$9:$D$311,4,FALSE)*'OPEB Amounts_Report'!$D$326,0)</f>
        <v>11474</v>
      </c>
      <c r="E105" s="122">
        <f>ROUND(VLOOKUP(A105,'Contribution Allocation_Report'!$A$9:$D$311,4,FALSE)*'OPEB Amounts_Report'!$E$326,0)</f>
        <v>9512</v>
      </c>
      <c r="F105" s="122">
        <f>ROUND(VLOOKUP(A105,'Contribution Allocation_Report'!$A$9:$D$311,4,FALSE)*'OPEB Amounts_Report'!$F$326,0)</f>
        <v>147197</v>
      </c>
      <c r="G105" s="122">
        <f>INDEX('Change in Proportion Layers'!$AC$8:$AC$324,MATCH('OPEB Amounts_Report'!A105,'Change in Proportion Layers'!$A$8:$A$324,0))</f>
        <v>147381</v>
      </c>
      <c r="H105" s="122">
        <f t="shared" si="4"/>
        <v>315564</v>
      </c>
      <c r="I105" s="122"/>
      <c r="J105" s="122">
        <f>ROUND(VLOOKUP(A105,'Contribution Allocation_Report'!$A$9:$D$311,4,FALSE)*'OPEB Amounts_Report'!$J$326,0)</f>
        <v>102250</v>
      </c>
      <c r="K105" s="122">
        <f>ROUND(VLOOKUP(A105,'Contribution Allocation_Report'!$A$9:$D$311,4,FALSE)*'OPEB Amounts_Report'!$K$326,0)</f>
        <v>511377</v>
      </c>
      <c r="L105" s="131">
        <f>INDEX('Change in Proportion Layers'!$AD$8:$AD$324,MATCH('OPEB Amounts_Report'!A105,'Change in Proportion Layers'!$A$8:$A$324,0))</f>
        <v>85649</v>
      </c>
      <c r="M105" s="122">
        <f t="shared" si="3"/>
        <v>699276</v>
      </c>
      <c r="N105" s="123"/>
      <c r="O105" s="123">
        <f>ROUND(VLOOKUP(A105,'Contribution Allocation_Report'!$A$9:$D$311,4,FALSE)*'OPEB Amounts_Report'!$O$326,0)</f>
        <v>-145126</v>
      </c>
      <c r="P105" s="123">
        <f>INDEX('Change in Proportion Layers'!$AA$8:$AA$324,MATCH('OPEB Amounts_Report'!A105,'Change in Proportion Layers'!$A$8:$A$324,0))</f>
        <v>39920</v>
      </c>
      <c r="Q105" s="123">
        <f t="shared" si="5"/>
        <v>-105206</v>
      </c>
    </row>
    <row r="106" spans="1:17" ht="12" customHeight="1">
      <c r="A106" s="164">
        <v>17054</v>
      </c>
      <c r="B106" s="165" t="s">
        <v>95</v>
      </c>
      <c r="C106" s="126">
        <f>ROUND(VLOOKUP(A106,'Contribution Allocation_Report'!$A$9:$D$311,4,FALSE)*'OPEB Amounts_Report'!$C$326,0)</f>
        <v>10801885</v>
      </c>
      <c r="D106" s="126">
        <f>ROUND(VLOOKUP(A106,'Contribution Allocation_Report'!$A$9:$D$311,4,FALSE)*'OPEB Amounts_Report'!$D$326,0)</f>
        <v>179667</v>
      </c>
      <c r="E106" s="126">
        <f>ROUND(VLOOKUP(A106,'Contribution Allocation_Report'!$A$9:$D$311,4,FALSE)*'OPEB Amounts_Report'!$E$326,0)</f>
        <v>148948</v>
      </c>
      <c r="F106" s="126">
        <f>ROUND(VLOOKUP(A106,'Contribution Allocation_Report'!$A$9:$D$311,4,FALSE)*'OPEB Amounts_Report'!$F$326,0)</f>
        <v>2304866</v>
      </c>
      <c r="G106" s="126">
        <f>INDEX('Change in Proportion Layers'!$AC$8:$AC$324,MATCH('OPEB Amounts_Report'!A106,'Change in Proportion Layers'!$A$8:$A$324,0))</f>
        <v>1096701</v>
      </c>
      <c r="H106" s="126">
        <f t="shared" si="4"/>
        <v>3730182</v>
      </c>
      <c r="I106" s="126"/>
      <c r="J106" s="126">
        <f>ROUND(VLOOKUP(A106,'Contribution Allocation_Report'!$A$9:$D$311,4,FALSE)*'OPEB Amounts_Report'!$J$326,0)</f>
        <v>1601069</v>
      </c>
      <c r="K106" s="126">
        <f>ROUND(VLOOKUP(A106,'Contribution Allocation_Report'!$A$9:$D$311,4,FALSE)*'OPEB Amounts_Report'!$K$326,0)</f>
        <v>8007316</v>
      </c>
      <c r="L106" s="128">
        <f>INDEX('Change in Proportion Layers'!$AD$8:$AD$324,MATCH('OPEB Amounts_Report'!A106,'Change in Proportion Layers'!$A$8:$A$324,0))</f>
        <v>711046</v>
      </c>
      <c r="M106" s="126">
        <f t="shared" si="3"/>
        <v>10319431</v>
      </c>
      <c r="N106" s="127"/>
      <c r="O106" s="127">
        <f>ROUND(VLOOKUP(A106,'Contribution Allocation_Report'!$A$9:$D$311,4,FALSE)*'OPEB Amounts_Report'!$O$326,0)</f>
        <v>-2272431</v>
      </c>
      <c r="P106" s="127">
        <f>INDEX('Change in Proportion Layers'!$AA$8:$AA$324,MATCH('OPEB Amounts_Report'!A106,'Change in Proportion Layers'!$A$8:$A$324,0))</f>
        <v>1051411</v>
      </c>
      <c r="Q106" s="127">
        <f t="shared" si="5"/>
        <v>-1221020</v>
      </c>
    </row>
    <row r="107" spans="1:17" ht="12" customHeight="1">
      <c r="A107" s="166">
        <v>22065</v>
      </c>
      <c r="B107" s="167" t="s">
        <v>96</v>
      </c>
      <c r="C107" s="122">
        <f>ROUND(VLOOKUP(A107,'Contribution Allocation_Report'!$A$9:$D$311,4,FALSE)*'OPEB Amounts_Report'!$C$326,0)</f>
        <v>2417225</v>
      </c>
      <c r="D107" s="122">
        <f>ROUND(VLOOKUP(A107,'Contribution Allocation_Report'!$A$9:$D$311,4,FALSE)*'OPEB Amounts_Report'!$D$326,0)</f>
        <v>40206</v>
      </c>
      <c r="E107" s="122">
        <f>ROUND(VLOOKUP(A107,'Contribution Allocation_Report'!$A$9:$D$311,4,FALSE)*'OPEB Amounts_Report'!$E$326,0)</f>
        <v>33331</v>
      </c>
      <c r="F107" s="122">
        <f>ROUND(VLOOKUP(A107,'Contribution Allocation_Report'!$A$9:$D$311,4,FALSE)*'OPEB Amounts_Report'!$F$326,0)</f>
        <v>515778</v>
      </c>
      <c r="G107" s="122">
        <f>INDEX('Change in Proportion Layers'!$AC$8:$AC$324,MATCH('OPEB Amounts_Report'!A107,'Change in Proportion Layers'!$A$8:$A$324,0))</f>
        <v>251848</v>
      </c>
      <c r="H107" s="122">
        <f t="shared" si="4"/>
        <v>841163</v>
      </c>
      <c r="I107" s="122"/>
      <c r="J107" s="122">
        <f>ROUND(VLOOKUP(A107,'Contribution Allocation_Report'!$A$9:$D$311,4,FALSE)*'OPEB Amounts_Report'!$J$326,0)</f>
        <v>358284</v>
      </c>
      <c r="K107" s="122">
        <f>ROUND(VLOOKUP(A107,'Contribution Allocation_Report'!$A$9:$D$311,4,FALSE)*'OPEB Amounts_Report'!$K$326,0)</f>
        <v>1791862</v>
      </c>
      <c r="L107" s="122">
        <f>INDEX('Change in Proportion Layers'!$AD$8:$AD$324,MATCH('OPEB Amounts_Report'!A107,'Change in Proportion Layers'!$A$8:$A$324,0))</f>
        <v>34172</v>
      </c>
      <c r="M107" s="122">
        <f t="shared" si="3"/>
        <v>2184318</v>
      </c>
      <c r="N107" s="123"/>
      <c r="O107" s="123">
        <f>ROUND(VLOOKUP(A107,'Contribution Allocation_Report'!$A$9:$D$311,4,FALSE)*'OPEB Amounts_Report'!$O$326,0)</f>
        <v>-508520</v>
      </c>
      <c r="P107" s="123">
        <f>INDEX('Change in Proportion Layers'!$AA$8:$AA$324,MATCH('OPEB Amounts_Report'!A107,'Change in Proportion Layers'!$A$8:$A$324,0))</f>
        <v>52380</v>
      </c>
      <c r="Q107" s="123">
        <f t="shared" si="5"/>
        <v>-456140</v>
      </c>
    </row>
    <row r="108" spans="1:17" ht="12" customHeight="1">
      <c r="A108" s="164">
        <v>22201</v>
      </c>
      <c r="B108" s="168" t="s">
        <v>97</v>
      </c>
      <c r="C108" s="120">
        <f>ROUND(VLOOKUP(A108,'Contribution Allocation_Report'!$A$9:$D$311,4,FALSE)*'OPEB Amounts_Report'!$C$326,0)</f>
        <v>1240026</v>
      </c>
      <c r="D108" s="120">
        <f>ROUND(VLOOKUP(A108,'Contribution Allocation_Report'!$A$9:$D$311,4,FALSE)*'OPEB Amounts_Report'!$D$326,0)</f>
        <v>20625</v>
      </c>
      <c r="E108" s="120">
        <f>ROUND(VLOOKUP(A108,'Contribution Allocation_Report'!$A$9:$D$311,4,FALSE)*'OPEB Amounts_Report'!$E$326,0)</f>
        <v>17099</v>
      </c>
      <c r="F108" s="120">
        <f>ROUND(VLOOKUP(A108,'Contribution Allocation_Report'!$A$9:$D$311,4,FALSE)*'OPEB Amounts_Report'!$F$326,0)</f>
        <v>264592</v>
      </c>
      <c r="G108" s="120">
        <f>INDEX('Change in Proportion Layers'!$AC$8:$AC$324,MATCH('OPEB Amounts_Report'!A108,'Change in Proportion Layers'!$A$8:$A$324,0))</f>
        <v>361013</v>
      </c>
      <c r="H108" s="120">
        <f t="shared" si="4"/>
        <v>663329</v>
      </c>
      <c r="I108" s="120"/>
      <c r="J108" s="120">
        <f>ROUND(VLOOKUP(A108,'Contribution Allocation_Report'!$A$9:$D$311,4,FALSE)*'OPEB Amounts_Report'!$J$326,0)</f>
        <v>183798</v>
      </c>
      <c r="K108" s="120">
        <f>ROUND(VLOOKUP(A108,'Contribution Allocation_Report'!$A$9:$D$311,4,FALSE)*'OPEB Amounts_Report'!$K$326,0)</f>
        <v>919217</v>
      </c>
      <c r="L108" s="120">
        <f>INDEX('Change in Proportion Layers'!$AD$8:$AD$324,MATCH('OPEB Amounts_Report'!A108,'Change in Proportion Layers'!$A$8:$A$324,0))</f>
        <v>39647</v>
      </c>
      <c r="M108" s="120">
        <f t="shared" si="3"/>
        <v>1142662</v>
      </c>
      <c r="N108" s="121"/>
      <c r="O108" s="121">
        <f>ROUND(VLOOKUP(A108,'Contribution Allocation_Report'!$A$9:$D$311,4,FALSE)*'OPEB Amounts_Report'!$O$326,0)</f>
        <v>-260869</v>
      </c>
      <c r="P108" s="121">
        <f>INDEX('Change in Proportion Layers'!$AA$8:$AA$324,MATCH('OPEB Amounts_Report'!A108,'Change in Proportion Layers'!$A$8:$A$324,0))</f>
        <v>138931</v>
      </c>
      <c r="Q108" s="121">
        <f t="shared" si="5"/>
        <v>-121938</v>
      </c>
    </row>
    <row r="109" spans="1:17" ht="12" customHeight="1">
      <c r="A109" s="166">
        <v>6016</v>
      </c>
      <c r="B109" s="167" t="s">
        <v>98</v>
      </c>
      <c r="C109" s="122">
        <f>ROUND(VLOOKUP(A109,'Contribution Allocation_Report'!$A$9:$D$311,4,FALSE)*'OPEB Amounts_Report'!$C$326,0)</f>
        <v>2525608</v>
      </c>
      <c r="D109" s="122">
        <f>ROUND(VLOOKUP(A109,'Contribution Allocation_Report'!$A$9:$D$311,4,FALSE)*'OPEB Amounts_Report'!$D$326,0)</f>
        <v>42008</v>
      </c>
      <c r="E109" s="122">
        <f>ROUND(VLOOKUP(A109,'Contribution Allocation_Report'!$A$9:$D$311,4,FALSE)*'OPEB Amounts_Report'!$E$326,0)</f>
        <v>34826</v>
      </c>
      <c r="F109" s="122">
        <f>ROUND(VLOOKUP(A109,'Contribution Allocation_Report'!$A$9:$D$311,4,FALSE)*'OPEB Amounts_Report'!$F$326,0)</f>
        <v>538905</v>
      </c>
      <c r="G109" s="122">
        <f>INDEX('Change in Proportion Layers'!$AC$8:$AC$324,MATCH('OPEB Amounts_Report'!A109,'Change in Proportion Layers'!$A$8:$A$324,0))</f>
        <v>517666</v>
      </c>
      <c r="H109" s="122">
        <f t="shared" si="4"/>
        <v>1133405</v>
      </c>
      <c r="I109" s="122"/>
      <c r="J109" s="122">
        <f>ROUND(VLOOKUP(A109,'Contribution Allocation_Report'!$A$9:$D$311,4,FALSE)*'OPEB Amounts_Report'!$J$326,0)</f>
        <v>374349</v>
      </c>
      <c r="K109" s="122">
        <f>ROUND(VLOOKUP(A109,'Contribution Allocation_Report'!$A$9:$D$311,4,FALSE)*'OPEB Amounts_Report'!$K$326,0)</f>
        <v>1872205</v>
      </c>
      <c r="L109" s="131">
        <f>INDEX('Change in Proportion Layers'!$AD$8:$AD$324,MATCH('OPEB Amounts_Report'!A109,'Change in Proportion Layers'!$A$8:$A$324,0))</f>
        <v>160097</v>
      </c>
      <c r="M109" s="122">
        <f t="shared" si="3"/>
        <v>2406651</v>
      </c>
      <c r="N109" s="123"/>
      <c r="O109" s="123">
        <f>ROUND(VLOOKUP(A109,'Contribution Allocation_Report'!$A$9:$D$311,4,FALSE)*'OPEB Amounts_Report'!$O$326,0)</f>
        <v>-531321</v>
      </c>
      <c r="P109" s="123">
        <f>INDEX('Change in Proportion Layers'!$AA$8:$AA$324,MATCH('OPEB Amounts_Report'!A109,'Change in Proportion Layers'!$A$8:$A$324,0))</f>
        <v>106038</v>
      </c>
      <c r="Q109" s="123">
        <f t="shared" si="5"/>
        <v>-425283</v>
      </c>
    </row>
    <row r="110" spans="1:17" ht="12" customHeight="1">
      <c r="A110" s="164">
        <v>2432</v>
      </c>
      <c r="B110" s="168" t="s">
        <v>99</v>
      </c>
      <c r="C110" s="120">
        <f>ROUND(VLOOKUP(A110,'Contribution Allocation_Report'!$A$9:$D$311,4,FALSE)*'OPEB Amounts_Report'!$C$326,0)</f>
        <v>2636859</v>
      </c>
      <c r="D110" s="120">
        <f>ROUND(VLOOKUP(A110,'Contribution Allocation_Report'!$A$9:$D$311,4,FALSE)*'OPEB Amounts_Report'!$D$326,0)</f>
        <v>43859</v>
      </c>
      <c r="E110" s="120">
        <f>ROUND(VLOOKUP(A110,'Contribution Allocation_Report'!$A$9:$D$311,4,FALSE)*'OPEB Amounts_Report'!$E$326,0)</f>
        <v>36360</v>
      </c>
      <c r="F110" s="120">
        <f>ROUND(VLOOKUP(A110,'Contribution Allocation_Report'!$A$9:$D$311,4,FALSE)*'OPEB Amounts_Report'!$F$326,0)</f>
        <v>562643</v>
      </c>
      <c r="G110" s="120">
        <f>INDEX('Change in Proportion Layers'!$AC$8:$AC$324,MATCH('OPEB Amounts_Report'!A110,'Change in Proportion Layers'!$A$8:$A$324,0))</f>
        <v>2511382</v>
      </c>
      <c r="H110" s="120">
        <f>SUM(D110:G110)</f>
        <v>3154244</v>
      </c>
      <c r="I110" s="120"/>
      <c r="J110" s="120">
        <f>ROUND(VLOOKUP(A110,'Contribution Allocation_Report'!$A$9:$D$311,4,FALSE)*'OPEB Amounts_Report'!$J$326,0)</f>
        <v>390838</v>
      </c>
      <c r="K110" s="120">
        <f>ROUND(VLOOKUP(A110,'Contribution Allocation_Report'!$A$9:$D$311,4,FALSE)*'OPEB Amounts_Report'!$K$326,0)</f>
        <v>1954674</v>
      </c>
      <c r="L110" s="130">
        <f>INDEX('Change in Proportion Layers'!$AD$8:$AD$324,MATCH('OPEB Amounts_Report'!A110,'Change in Proportion Layers'!$A$8:$A$324,0))</f>
        <v>0</v>
      </c>
      <c r="M110" s="120">
        <f t="shared" si="3"/>
        <v>2345512</v>
      </c>
      <c r="N110" s="121"/>
      <c r="O110" s="121">
        <f>ROUND(VLOOKUP(A110,'Contribution Allocation_Report'!$A$9:$D$311,4,FALSE)*'OPEB Amounts_Report'!$O$326,0)</f>
        <v>-554725</v>
      </c>
      <c r="P110" s="121">
        <f>INDEX('Change in Proportion Layers'!$AA$8:$AA$324,MATCH('OPEB Amounts_Report'!A110,'Change in Proportion Layers'!$A$8:$A$324,0))</f>
        <v>662218</v>
      </c>
      <c r="Q110" s="121">
        <f>+O110+P110</f>
        <v>107493</v>
      </c>
    </row>
    <row r="111" spans="1:17" ht="12" customHeight="1">
      <c r="A111" s="166">
        <v>7440</v>
      </c>
      <c r="B111" s="167" t="s">
        <v>532</v>
      </c>
      <c r="C111" s="122">
        <f>ROUND(VLOOKUP(A111,'Contribution Allocation_Report'!$A$9:$D$311,4,FALSE)*'OPEB Amounts_Report'!$C$326,0)</f>
        <v>265600</v>
      </c>
      <c r="D111" s="122">
        <f>ROUND(VLOOKUP(A111,'Contribution Allocation_Report'!$A$9:$D$311,4,FALSE)*'OPEB Amounts_Report'!$D$326,0)</f>
        <v>4418</v>
      </c>
      <c r="E111" s="122">
        <f>ROUND(VLOOKUP(A111,'Contribution Allocation_Report'!$A$9:$D$311,4,FALSE)*'OPEB Amounts_Report'!$E$326,0)</f>
        <v>3662</v>
      </c>
      <c r="F111" s="122">
        <f>ROUND(VLOOKUP(A111,'Contribution Allocation_Report'!$A$9:$D$311,4,FALSE)*'OPEB Amounts_Report'!$F$326,0)</f>
        <v>56673</v>
      </c>
      <c r="G111" s="122">
        <f>INDEX('Change in Proportion Layers'!$AC$8:$AC$324,MATCH('OPEB Amounts_Report'!A111,'Change in Proportion Layers'!$A$8:$A$324,0))</f>
        <v>418968</v>
      </c>
      <c r="H111" s="122">
        <f t="shared" si="4"/>
        <v>483721</v>
      </c>
      <c r="I111" s="122"/>
      <c r="J111" s="122">
        <f>ROUND(VLOOKUP(A111,'Contribution Allocation_Report'!$A$9:$D$311,4,FALSE)*'OPEB Amounts_Report'!$J$326,0)</f>
        <v>39368</v>
      </c>
      <c r="K111" s="122">
        <f>ROUND(VLOOKUP(A111,'Contribution Allocation_Report'!$A$9:$D$311,4,FALSE)*'OPEB Amounts_Report'!$K$326,0)</f>
        <v>196886</v>
      </c>
      <c r="L111" s="122">
        <f>INDEX('Change in Proportion Layers'!$AD$8:$AD$324,MATCH('OPEB Amounts_Report'!A111,'Change in Proportion Layers'!$A$8:$A$324,0))</f>
        <v>0</v>
      </c>
      <c r="M111" s="122">
        <f t="shared" si="3"/>
        <v>236254</v>
      </c>
      <c r="N111" s="123"/>
      <c r="O111" s="123">
        <f>ROUND(VLOOKUP(A111,'Contribution Allocation_Report'!$A$9:$D$311,4,FALSE)*'OPEB Amounts_Report'!$O$326,0)</f>
        <v>-55875</v>
      </c>
      <c r="P111" s="123">
        <f>INDEX('Change in Proportion Layers'!$AA$8:$AA$324,MATCH('OPEB Amounts_Report'!A111,'Change in Proportion Layers'!$A$8:$A$324,0))</f>
        <v>85679</v>
      </c>
      <c r="Q111" s="123">
        <f t="shared" si="5"/>
        <v>29804</v>
      </c>
    </row>
    <row r="112" spans="1:17" ht="12" customHeight="1">
      <c r="A112" s="164">
        <v>16052</v>
      </c>
      <c r="B112" s="168" t="s">
        <v>100</v>
      </c>
      <c r="C112" s="120">
        <f>ROUND(VLOOKUP(A112,'Contribution Allocation_Report'!$A$9:$D$311,4,FALSE)*'OPEB Amounts_Report'!$C$326,0)</f>
        <v>30953390</v>
      </c>
      <c r="D112" s="120">
        <f>ROUND(VLOOKUP(A112,'Contribution Allocation_Report'!$A$9:$D$311,4,FALSE)*'OPEB Amounts_Report'!$D$326,0)</f>
        <v>514846</v>
      </c>
      <c r="E112" s="120">
        <f>ROUND(VLOOKUP(A112,'Contribution Allocation_Report'!$A$9:$D$311,4,FALSE)*'OPEB Amounts_Report'!$E$326,0)</f>
        <v>426818</v>
      </c>
      <c r="F112" s="120">
        <f>ROUND(VLOOKUP(A112,'Contribution Allocation_Report'!$A$9:$D$311,4,FALSE)*'OPEB Amounts_Report'!$F$326,0)</f>
        <v>6604720</v>
      </c>
      <c r="G112" s="120">
        <f>INDEX('Change in Proportion Layers'!$AC$8:$AC$324,MATCH('OPEB Amounts_Report'!A112,'Change in Proportion Layers'!$A$8:$A$324,0))</f>
        <v>3137463</v>
      </c>
      <c r="H112" s="120">
        <f t="shared" si="4"/>
        <v>10683847</v>
      </c>
      <c r="I112" s="120"/>
      <c r="J112" s="120">
        <f>ROUND(VLOOKUP(A112,'Contribution Allocation_Report'!$A$9:$D$311,4,FALSE)*'OPEB Amounts_Report'!$J$326,0)</f>
        <v>4587950</v>
      </c>
      <c r="K112" s="120">
        <f>ROUND(VLOOKUP(A112,'Contribution Allocation_Report'!$A$9:$D$311,4,FALSE)*'OPEB Amounts_Report'!$K$326,0)</f>
        <v>22945399</v>
      </c>
      <c r="L112" s="120">
        <f>INDEX('Change in Proportion Layers'!$AD$8:$AD$324,MATCH('OPEB Amounts_Report'!A112,'Change in Proportion Layers'!$A$8:$A$324,0))</f>
        <v>1266487</v>
      </c>
      <c r="M112" s="120">
        <f t="shared" si="3"/>
        <v>28799836</v>
      </c>
      <c r="N112" s="121"/>
      <c r="O112" s="121">
        <f>ROUND(VLOOKUP(A112,'Contribution Allocation_Report'!$A$9:$D$311,4,FALSE)*'OPEB Amounts_Report'!$O$326,0)</f>
        <v>-6511774</v>
      </c>
      <c r="P112" s="121">
        <f>INDEX('Change in Proportion Layers'!$AA$8:$AA$324,MATCH('OPEB Amounts_Report'!A112,'Change in Proportion Layers'!$A$8:$A$324,0))</f>
        <v>628941</v>
      </c>
      <c r="Q112" s="121">
        <f t="shared" si="5"/>
        <v>-5882833</v>
      </c>
    </row>
    <row r="113" spans="1:17" ht="12" customHeight="1">
      <c r="A113" s="166">
        <v>11118</v>
      </c>
      <c r="B113" s="167" t="s">
        <v>101</v>
      </c>
      <c r="C113" s="122">
        <f>ROUND(VLOOKUP(A113,'Contribution Allocation_Report'!$A$9:$D$311,4,FALSE)*'OPEB Amounts_Report'!$C$326,0)</f>
        <v>840785</v>
      </c>
      <c r="D113" s="122">
        <f>ROUND(VLOOKUP(A113,'Contribution Allocation_Report'!$A$9:$D$311,4,FALSE)*'OPEB Amounts_Report'!$D$326,0)</f>
        <v>13985</v>
      </c>
      <c r="E113" s="122">
        <f>ROUND(VLOOKUP(A113,'Contribution Allocation_Report'!$A$9:$D$311,4,FALSE)*'OPEB Amounts_Report'!$E$326,0)</f>
        <v>11594</v>
      </c>
      <c r="F113" s="122">
        <f>ROUND(VLOOKUP(A113,'Contribution Allocation_Report'!$A$9:$D$311,4,FALSE)*'OPEB Amounts_Report'!$F$326,0)</f>
        <v>179404</v>
      </c>
      <c r="G113" s="122">
        <f>INDEX('Change in Proportion Layers'!$AC$8:$AC$324,MATCH('OPEB Amounts_Report'!A113,'Change in Proportion Layers'!$A$8:$A$324,0))</f>
        <v>64259</v>
      </c>
      <c r="H113" s="122">
        <f t="shared" si="4"/>
        <v>269242</v>
      </c>
      <c r="I113" s="122"/>
      <c r="J113" s="122">
        <f>ROUND(VLOOKUP(A113,'Contribution Allocation_Report'!$A$9:$D$311,4,FALSE)*'OPEB Amounts_Report'!$J$326,0)</f>
        <v>124622</v>
      </c>
      <c r="K113" s="122">
        <f>ROUND(VLOOKUP(A113,'Contribution Allocation_Report'!$A$9:$D$311,4,FALSE)*'OPEB Amounts_Report'!$K$326,0)</f>
        <v>623264</v>
      </c>
      <c r="L113" s="122">
        <f>INDEX('Change in Proportion Layers'!$AD$8:$AD$324,MATCH('OPEB Amounts_Report'!A113,'Change in Proportion Layers'!$A$8:$A$324,0))</f>
        <v>174120</v>
      </c>
      <c r="M113" s="122">
        <f t="shared" si="3"/>
        <v>922006</v>
      </c>
      <c r="N113" s="123"/>
      <c r="O113" s="123">
        <f>ROUND(VLOOKUP(A113,'Contribution Allocation_Report'!$A$9:$D$311,4,FALSE)*'OPEB Amounts_Report'!$O$326,0)</f>
        <v>-176879</v>
      </c>
      <c r="P113" s="123">
        <f>INDEX('Change in Proportion Layers'!$AA$8:$AA$324,MATCH('OPEB Amounts_Report'!A113,'Change in Proportion Layers'!$A$8:$A$324,0))</f>
        <v>-26094</v>
      </c>
      <c r="Q113" s="123">
        <f t="shared" si="5"/>
        <v>-202973</v>
      </c>
    </row>
    <row r="114" spans="1:17" ht="12" customHeight="1">
      <c r="A114" s="164">
        <v>27083</v>
      </c>
      <c r="B114" s="168" t="s">
        <v>102</v>
      </c>
      <c r="C114" s="120">
        <f>ROUND(VLOOKUP(A114,'Contribution Allocation_Report'!$A$9:$D$311,4,FALSE)*'OPEB Amounts_Report'!$C$326,0)</f>
        <v>1274523</v>
      </c>
      <c r="D114" s="120">
        <f>ROUND(VLOOKUP(A114,'Contribution Allocation_Report'!$A$9:$D$311,4,FALSE)*'OPEB Amounts_Report'!$D$326,0)</f>
        <v>21199</v>
      </c>
      <c r="E114" s="120">
        <f>ROUND(VLOOKUP(A114,'Contribution Allocation_Report'!$A$9:$D$311,4,FALSE)*'OPEB Amounts_Report'!$E$326,0)</f>
        <v>17574</v>
      </c>
      <c r="F114" s="120">
        <f>ROUND(VLOOKUP(A114,'Contribution Allocation_Report'!$A$9:$D$311,4,FALSE)*'OPEB Amounts_Report'!$F$326,0)</f>
        <v>271953</v>
      </c>
      <c r="G114" s="120">
        <f>INDEX('Change in Proportion Layers'!$AC$8:$AC$324,MATCH('OPEB Amounts_Report'!A114,'Change in Proportion Layers'!$A$8:$A$324,0))</f>
        <v>99117</v>
      </c>
      <c r="H114" s="120">
        <f t="shared" si="4"/>
        <v>409843</v>
      </c>
      <c r="I114" s="120"/>
      <c r="J114" s="120">
        <f>ROUND(VLOOKUP(A114,'Contribution Allocation_Report'!$A$9:$D$311,4,FALSE)*'OPEB Amounts_Report'!$J$326,0)</f>
        <v>188911</v>
      </c>
      <c r="K114" s="120">
        <f>ROUND(VLOOKUP(A114,'Contribution Allocation_Report'!$A$9:$D$311,4,FALSE)*'OPEB Amounts_Report'!$K$326,0)</f>
        <v>944790</v>
      </c>
      <c r="L114" s="120">
        <f>INDEX('Change in Proportion Layers'!$AD$8:$AD$324,MATCH('OPEB Amounts_Report'!A114,'Change in Proportion Layers'!$A$8:$A$324,0))</f>
        <v>53432</v>
      </c>
      <c r="M114" s="120">
        <f t="shared" si="3"/>
        <v>1187133</v>
      </c>
      <c r="N114" s="121"/>
      <c r="O114" s="121">
        <f>ROUND(VLOOKUP(A114,'Contribution Allocation_Report'!$A$9:$D$311,4,FALSE)*'OPEB Amounts_Report'!$O$326,0)</f>
        <v>-268126</v>
      </c>
      <c r="P114" s="121">
        <f>INDEX('Change in Proportion Layers'!$AA$8:$AA$324,MATCH('OPEB Amounts_Report'!A114,'Change in Proportion Layers'!$A$8:$A$324,0))</f>
        <v>15694</v>
      </c>
      <c r="Q114" s="121">
        <f t="shared" si="5"/>
        <v>-252432</v>
      </c>
    </row>
    <row r="115" spans="1:17" ht="12" customHeight="1">
      <c r="A115" s="166">
        <v>7021</v>
      </c>
      <c r="B115" s="167" t="s">
        <v>103</v>
      </c>
      <c r="C115" s="122">
        <f>ROUND(VLOOKUP(A115,'Contribution Allocation_Report'!$A$9:$D$311,4,FALSE)*'OPEB Amounts_Report'!$C$326,0)</f>
        <v>41556053</v>
      </c>
      <c r="D115" s="122">
        <f>ROUND(VLOOKUP(A115,'Contribution Allocation_Report'!$A$9:$D$311,4,FALSE)*'OPEB Amounts_Report'!$D$326,0)</f>
        <v>691199</v>
      </c>
      <c r="E115" s="122">
        <f>ROUND(VLOOKUP(A115,'Contribution Allocation_Report'!$A$9:$D$311,4,FALSE)*'OPEB Amounts_Report'!$E$326,0)</f>
        <v>573019</v>
      </c>
      <c r="F115" s="122">
        <f>ROUND(VLOOKUP(A115,'Contribution Allocation_Report'!$A$9:$D$311,4,FALSE)*'OPEB Amounts_Report'!$F$326,0)</f>
        <v>8867076</v>
      </c>
      <c r="G115" s="122">
        <f>INDEX('Change in Proportion Layers'!$AC$8:$AC$324,MATCH('OPEB Amounts_Report'!A115,'Change in Proportion Layers'!$A$8:$A$324,0))</f>
        <v>2997314</v>
      </c>
      <c r="H115" s="122">
        <f t="shared" si="4"/>
        <v>13128608</v>
      </c>
      <c r="I115" s="122"/>
      <c r="J115" s="122">
        <f>ROUND(VLOOKUP(A115,'Contribution Allocation_Report'!$A$9:$D$311,4,FALSE)*'OPEB Amounts_Report'!$J$326,0)</f>
        <v>6159490</v>
      </c>
      <c r="K115" s="122">
        <f>ROUND(VLOOKUP(A115,'Contribution Allocation_Report'!$A$9:$D$311,4,FALSE)*'OPEB Amounts_Report'!$K$326,0)</f>
        <v>30805033</v>
      </c>
      <c r="L115" s="131">
        <f>INDEX('Change in Proportion Layers'!$AD$8:$AD$324,MATCH('OPEB Amounts_Report'!A115,'Change in Proportion Layers'!$A$8:$A$324,0))</f>
        <v>1727789</v>
      </c>
      <c r="M115" s="122">
        <f t="shared" si="3"/>
        <v>38692312</v>
      </c>
      <c r="N115" s="123"/>
      <c r="O115" s="123">
        <f>ROUND(VLOOKUP(A115,'Contribution Allocation_Report'!$A$9:$D$311,4,FALSE)*'OPEB Amounts_Report'!$O$326,0)</f>
        <v>-8742294</v>
      </c>
      <c r="P115" s="123">
        <f>INDEX('Change in Proportion Layers'!$AA$8:$AA$324,MATCH('OPEB Amounts_Report'!A115,'Change in Proportion Layers'!$A$8:$A$324,0))</f>
        <v>-12137</v>
      </c>
      <c r="Q115" s="123">
        <f t="shared" si="5"/>
        <v>-8754431</v>
      </c>
    </row>
    <row r="116" spans="1:17" ht="12" customHeight="1">
      <c r="A116" s="164">
        <v>4140</v>
      </c>
      <c r="B116" s="168" t="s">
        <v>104</v>
      </c>
      <c r="C116" s="120">
        <f>ROUND(VLOOKUP(A116,'Contribution Allocation_Report'!$A$9:$D$311,4,FALSE)*'OPEB Amounts_Report'!$C$326,0)</f>
        <v>254814</v>
      </c>
      <c r="D116" s="120">
        <f>ROUND(VLOOKUP(A116,'Contribution Allocation_Report'!$A$9:$D$311,4,FALSE)*'OPEB Amounts_Report'!$D$326,0)</f>
        <v>4238</v>
      </c>
      <c r="E116" s="120">
        <f>ROUND(VLOOKUP(A116,'Contribution Allocation_Report'!$A$9:$D$311,4,FALSE)*'OPEB Amounts_Report'!$E$326,0)</f>
        <v>3514</v>
      </c>
      <c r="F116" s="120">
        <f>ROUND(VLOOKUP(A116,'Contribution Allocation_Report'!$A$9:$D$311,4,FALSE)*'OPEB Amounts_Report'!$F$326,0)</f>
        <v>54371</v>
      </c>
      <c r="G116" s="120">
        <f>INDEX('Change in Proportion Layers'!$AC$8:$AC$324,MATCH('OPEB Amounts_Report'!A116,'Change in Proportion Layers'!$A$8:$A$324,0))</f>
        <v>35973</v>
      </c>
      <c r="H116" s="120">
        <f t="shared" si="4"/>
        <v>98096</v>
      </c>
      <c r="I116" s="120"/>
      <c r="J116" s="120">
        <f>ROUND(VLOOKUP(A116,'Contribution Allocation_Report'!$A$9:$D$311,4,FALSE)*'OPEB Amounts_Report'!$J$326,0)</f>
        <v>37769</v>
      </c>
      <c r="K116" s="120">
        <f>ROUND(VLOOKUP(A116,'Contribution Allocation_Report'!$A$9:$D$311,4,FALSE)*'OPEB Amounts_Report'!$K$326,0)</f>
        <v>188890</v>
      </c>
      <c r="L116" s="130">
        <f>INDEX('Change in Proportion Layers'!$AD$8:$AD$324,MATCH('OPEB Amounts_Report'!A116,'Change in Proportion Layers'!$A$8:$A$324,0))</f>
        <v>39788</v>
      </c>
      <c r="M116" s="120">
        <f t="shared" si="3"/>
        <v>266447</v>
      </c>
      <c r="N116" s="121"/>
      <c r="O116" s="121">
        <f>ROUND(VLOOKUP(A116,'Contribution Allocation_Report'!$A$9:$D$311,4,FALSE)*'OPEB Amounts_Report'!$O$326,0)</f>
        <v>-53606</v>
      </c>
      <c r="P116" s="121">
        <f>INDEX('Change in Proportion Layers'!$AA$8:$AA$324,MATCH('OPEB Amounts_Report'!A116,'Change in Proportion Layers'!$A$8:$A$324,0))</f>
        <v>-5657</v>
      </c>
      <c r="Q116" s="121">
        <f t="shared" si="5"/>
        <v>-59263</v>
      </c>
    </row>
    <row r="117" spans="1:17" ht="12" customHeight="1">
      <c r="A117" s="166">
        <v>13041</v>
      </c>
      <c r="B117" s="167" t="s">
        <v>105</v>
      </c>
      <c r="C117" s="122">
        <f>ROUND(VLOOKUP(A117,'Contribution Allocation_Report'!$A$9:$D$311,4,FALSE)*'OPEB Amounts_Report'!$C$326,0)</f>
        <v>36467381</v>
      </c>
      <c r="D117" s="122">
        <f>ROUND(VLOOKUP(A117,'Contribution Allocation_Report'!$A$9:$D$311,4,FALSE)*'OPEB Amounts_Report'!$D$326,0)</f>
        <v>606560</v>
      </c>
      <c r="E117" s="122">
        <f>ROUND(VLOOKUP(A117,'Contribution Allocation_Report'!$A$9:$D$311,4,FALSE)*'OPEB Amounts_Report'!$E$326,0)</f>
        <v>502851</v>
      </c>
      <c r="F117" s="122">
        <f>ROUND(VLOOKUP(A117,'Contribution Allocation_Report'!$A$9:$D$311,4,FALSE)*'OPEB Amounts_Report'!$F$326,0)</f>
        <v>7781274</v>
      </c>
      <c r="G117" s="122">
        <f>INDEX('Change in Proportion Layers'!$AC$8:$AC$324,MATCH('OPEB Amounts_Report'!A117,'Change in Proportion Layers'!$A$8:$A$324,0))</f>
        <v>871850</v>
      </c>
      <c r="H117" s="122">
        <f t="shared" si="4"/>
        <v>9762535</v>
      </c>
      <c r="I117" s="122"/>
      <c r="J117" s="122">
        <f>ROUND(VLOOKUP(A117,'Contribution Allocation_Report'!$A$9:$D$311,4,FALSE)*'OPEB Amounts_Report'!$J$326,0)</f>
        <v>5405240</v>
      </c>
      <c r="K117" s="122">
        <f>ROUND(VLOOKUP(A117,'Contribution Allocation_Report'!$A$9:$D$311,4,FALSE)*'OPEB Amounts_Report'!$K$326,0)</f>
        <v>27032858</v>
      </c>
      <c r="L117" s="131">
        <f>INDEX('Change in Proportion Layers'!$AD$8:$AD$324,MATCH('OPEB Amounts_Report'!A117,'Change in Proportion Layers'!$A$8:$A$324,0))</f>
        <v>4342741</v>
      </c>
      <c r="M117" s="122">
        <f t="shared" si="3"/>
        <v>36780839</v>
      </c>
      <c r="N117" s="123"/>
      <c r="O117" s="123">
        <f>ROUND(VLOOKUP(A117,'Contribution Allocation_Report'!$A$9:$D$311,4,FALSE)*'OPEB Amounts_Report'!$O$326,0)</f>
        <v>-7671772</v>
      </c>
      <c r="P117" s="123">
        <f>INDEX('Change in Proportion Layers'!$AA$8:$AA$324,MATCH('OPEB Amounts_Report'!A117,'Change in Proportion Layers'!$A$8:$A$324,0))</f>
        <v>-314474</v>
      </c>
      <c r="Q117" s="123">
        <f t="shared" si="5"/>
        <v>-7986246</v>
      </c>
    </row>
    <row r="118" spans="1:17" ht="12" customHeight="1">
      <c r="A118" s="164">
        <v>2339</v>
      </c>
      <c r="B118" s="168" t="s">
        <v>106</v>
      </c>
      <c r="C118" s="120">
        <f>ROUND(VLOOKUP(A118,'Contribution Allocation_Report'!$A$9:$D$311,4,FALSE)*'OPEB Amounts_Report'!$C$326,0)</f>
        <v>485643</v>
      </c>
      <c r="D118" s="120">
        <f>ROUND(VLOOKUP(A118,'Contribution Allocation_Report'!$A$9:$D$311,4,FALSE)*'OPEB Amounts_Report'!$D$326,0)</f>
        <v>8078</v>
      </c>
      <c r="E118" s="120">
        <f>ROUND(VLOOKUP(A118,'Contribution Allocation_Report'!$A$9:$D$311,4,FALSE)*'OPEB Amounts_Report'!$E$326,0)</f>
        <v>6697</v>
      </c>
      <c r="F118" s="120">
        <f>ROUND(VLOOKUP(A118,'Contribution Allocation_Report'!$A$9:$D$311,4,FALSE)*'OPEB Amounts_Report'!$F$326,0)</f>
        <v>103625</v>
      </c>
      <c r="G118" s="120">
        <f>INDEX('Change in Proportion Layers'!$AC$8:$AC$324,MATCH('OPEB Amounts_Report'!A118,'Change in Proportion Layers'!$A$8:$A$324,0))</f>
        <v>30944</v>
      </c>
      <c r="H118" s="120">
        <f t="shared" si="4"/>
        <v>149344</v>
      </c>
      <c r="I118" s="120"/>
      <c r="J118" s="120">
        <f>ROUND(VLOOKUP(A118,'Contribution Allocation_Report'!$A$9:$D$311,4,FALSE)*'OPEB Amounts_Report'!$J$326,0)</f>
        <v>71983</v>
      </c>
      <c r="K118" s="120">
        <f>ROUND(VLOOKUP(A118,'Contribution Allocation_Report'!$A$9:$D$311,4,FALSE)*'OPEB Amounts_Report'!$K$326,0)</f>
        <v>360002</v>
      </c>
      <c r="L118" s="130">
        <f>INDEX('Change in Proportion Layers'!$AD$8:$AD$324,MATCH('OPEB Amounts_Report'!A118,'Change in Proportion Layers'!$A$8:$A$324,0))</f>
        <v>151149</v>
      </c>
      <c r="M118" s="120">
        <f t="shared" si="3"/>
        <v>583134</v>
      </c>
      <c r="N118" s="121"/>
      <c r="O118" s="121">
        <f>ROUND(VLOOKUP(A118,'Contribution Allocation_Report'!$A$9:$D$311,4,FALSE)*'OPEB Amounts_Report'!$O$326,0)</f>
        <v>-102166</v>
      </c>
      <c r="P118" s="121">
        <f>INDEX('Change in Proportion Layers'!$AA$8:$AA$324,MATCH('OPEB Amounts_Report'!A118,'Change in Proportion Layers'!$A$8:$A$324,0))</f>
        <v>-50766</v>
      </c>
      <c r="Q118" s="121">
        <f t="shared" si="5"/>
        <v>-152932</v>
      </c>
    </row>
    <row r="119" spans="1:17" ht="12" customHeight="1">
      <c r="A119" s="166">
        <v>2362</v>
      </c>
      <c r="B119" s="167" t="s">
        <v>107</v>
      </c>
      <c r="C119" s="122">
        <f>ROUND(VLOOKUP(A119,'Contribution Allocation_Report'!$A$9:$D$311,4,FALSE)*'OPEB Amounts_Report'!$C$326,0)</f>
        <v>754906</v>
      </c>
      <c r="D119" s="122">
        <f>ROUND(VLOOKUP(A119,'Contribution Allocation_Report'!$A$9:$D$311,4,FALSE)*'OPEB Amounts_Report'!$D$326,0)</f>
        <v>12556</v>
      </c>
      <c r="E119" s="122">
        <f>ROUND(VLOOKUP(A119,'Contribution Allocation_Report'!$A$9:$D$311,4,FALSE)*'OPEB Amounts_Report'!$E$326,0)</f>
        <v>10409</v>
      </c>
      <c r="F119" s="122">
        <f>ROUND(VLOOKUP(A119,'Contribution Allocation_Report'!$A$9:$D$311,4,FALSE)*'OPEB Amounts_Report'!$F$326,0)</f>
        <v>161079</v>
      </c>
      <c r="G119" s="122">
        <f>INDEX('Change in Proportion Layers'!$AC$8:$AC$324,MATCH('OPEB Amounts_Report'!A119,'Change in Proportion Layers'!$A$8:$A$324,0))</f>
        <v>124930</v>
      </c>
      <c r="H119" s="122">
        <f t="shared" si="4"/>
        <v>308974</v>
      </c>
      <c r="I119" s="122"/>
      <c r="J119" s="122">
        <f>ROUND(VLOOKUP(A119,'Contribution Allocation_Report'!$A$9:$D$311,4,FALSE)*'OPEB Amounts_Report'!$J$326,0)</f>
        <v>111893</v>
      </c>
      <c r="K119" s="122">
        <f>ROUND(VLOOKUP(A119,'Contribution Allocation_Report'!$A$9:$D$311,4,FALSE)*'OPEB Amounts_Report'!$K$326,0)</f>
        <v>559604</v>
      </c>
      <c r="L119" s="131">
        <f>INDEX('Change in Proportion Layers'!$AD$8:$AD$324,MATCH('OPEB Amounts_Report'!A119,'Change in Proportion Layers'!$A$8:$A$324,0))</f>
        <v>447335</v>
      </c>
      <c r="M119" s="122">
        <f t="shared" si="3"/>
        <v>1118832</v>
      </c>
      <c r="N119" s="123"/>
      <c r="O119" s="123">
        <f>ROUND(VLOOKUP(A119,'Contribution Allocation_Report'!$A$9:$D$311,4,FALSE)*'OPEB Amounts_Report'!$O$326,0)</f>
        <v>-158812</v>
      </c>
      <c r="P119" s="123">
        <f>INDEX('Change in Proportion Layers'!$AA$8:$AA$324,MATCH('OPEB Amounts_Report'!A119,'Change in Proportion Layers'!$A$8:$A$324,0))</f>
        <v>-42033</v>
      </c>
      <c r="Q119" s="123">
        <f t="shared" si="5"/>
        <v>-200845</v>
      </c>
    </row>
    <row r="120" spans="1:17" ht="12" customHeight="1">
      <c r="A120" s="164">
        <v>5013</v>
      </c>
      <c r="B120" s="168" t="s">
        <v>108</v>
      </c>
      <c r="C120" s="120">
        <f>ROUND(VLOOKUP(A120,'Contribution Allocation_Report'!$A$9:$D$311,4,FALSE)*'OPEB Amounts_Report'!$C$326,0)</f>
        <v>667867</v>
      </c>
      <c r="D120" s="120">
        <f>ROUND(VLOOKUP(A120,'Contribution Allocation_Report'!$A$9:$D$311,4,FALSE)*'OPEB Amounts_Report'!$D$326,0)</f>
        <v>11109</v>
      </c>
      <c r="E120" s="120">
        <f>ROUND(VLOOKUP(A120,'Contribution Allocation_Report'!$A$9:$D$311,4,FALSE)*'OPEB Amounts_Report'!$E$326,0)</f>
        <v>9209</v>
      </c>
      <c r="F120" s="120">
        <f>ROUND(VLOOKUP(A120,'Contribution Allocation_Report'!$A$9:$D$311,4,FALSE)*'OPEB Amounts_Report'!$F$326,0)</f>
        <v>142507</v>
      </c>
      <c r="G120" s="120">
        <f>INDEX('Change in Proportion Layers'!$AC$8:$AC$324,MATCH('OPEB Amounts_Report'!A120,'Change in Proportion Layers'!$A$8:$A$324,0))</f>
        <v>37265</v>
      </c>
      <c r="H120" s="120">
        <f t="shared" si="4"/>
        <v>200090</v>
      </c>
      <c r="I120" s="120"/>
      <c r="J120" s="120">
        <f>ROUND(VLOOKUP(A120,'Contribution Allocation_Report'!$A$9:$D$311,4,FALSE)*'OPEB Amounts_Report'!$J$326,0)</f>
        <v>98992</v>
      </c>
      <c r="K120" s="120">
        <f>ROUND(VLOOKUP(A120,'Contribution Allocation_Report'!$A$9:$D$311,4,FALSE)*'OPEB Amounts_Report'!$K$326,0)</f>
        <v>495083</v>
      </c>
      <c r="L120" s="120">
        <f>INDEX('Change in Proportion Layers'!$AD$8:$AD$324,MATCH('OPEB Amounts_Report'!A120,'Change in Proportion Layers'!$A$8:$A$324,0))</f>
        <v>19300</v>
      </c>
      <c r="M120" s="120">
        <f t="shared" si="3"/>
        <v>613375</v>
      </c>
      <c r="N120" s="121"/>
      <c r="O120" s="121">
        <f>ROUND(VLOOKUP(A120,'Contribution Allocation_Report'!$A$9:$D$311,4,FALSE)*'OPEB Amounts_Report'!$O$326,0)</f>
        <v>-140502</v>
      </c>
      <c r="P120" s="121">
        <f>INDEX('Change in Proportion Layers'!$AA$8:$AA$324,MATCH('OPEB Amounts_Report'!A120,'Change in Proportion Layers'!$A$8:$A$324,0))</f>
        <v>4316</v>
      </c>
      <c r="Q120" s="121">
        <f t="shared" si="5"/>
        <v>-136186</v>
      </c>
    </row>
    <row r="121" spans="1:17" ht="12" customHeight="1">
      <c r="A121" s="166">
        <v>3110</v>
      </c>
      <c r="B121" s="167" t="s">
        <v>109</v>
      </c>
      <c r="C121" s="122">
        <f>ROUND(VLOOKUP(A121,'Contribution Allocation_Report'!$A$9:$D$311,4,FALSE)*'OPEB Amounts_Report'!$C$326,0)</f>
        <v>3253868</v>
      </c>
      <c r="D121" s="122">
        <f>ROUND(VLOOKUP(A121,'Contribution Allocation_Report'!$A$9:$D$311,4,FALSE)*'OPEB Amounts_Report'!$D$326,0)</f>
        <v>54121</v>
      </c>
      <c r="E121" s="122">
        <f>ROUND(VLOOKUP(A121,'Contribution Allocation_Report'!$A$9:$D$311,4,FALSE)*'OPEB Amounts_Report'!$E$326,0)</f>
        <v>44868</v>
      </c>
      <c r="F121" s="122">
        <f>ROUND(VLOOKUP(A121,'Contribution Allocation_Report'!$A$9:$D$311,4,FALSE)*'OPEB Amounts_Report'!$F$326,0)</f>
        <v>694298</v>
      </c>
      <c r="G121" s="122">
        <f>INDEX('Change in Proportion Layers'!$AC$8:$AC$324,MATCH('OPEB Amounts_Report'!A121,'Change in Proportion Layers'!$A$8:$A$324,0))</f>
        <v>13860</v>
      </c>
      <c r="H121" s="122">
        <f t="shared" si="4"/>
        <v>807147</v>
      </c>
      <c r="I121" s="122"/>
      <c r="J121" s="122">
        <f>ROUND(VLOOKUP(A121,'Contribution Allocation_Report'!$A$9:$D$311,4,FALSE)*'OPEB Amounts_Report'!$J$326,0)</f>
        <v>482292</v>
      </c>
      <c r="K121" s="122">
        <f>ROUND(VLOOKUP(A121,'Contribution Allocation_Report'!$A$9:$D$311,4,FALSE)*'OPEB Amounts_Report'!$K$326,0)</f>
        <v>2412056</v>
      </c>
      <c r="L121" s="131">
        <f>INDEX('Change in Proportion Layers'!$AD$8:$AD$324,MATCH('OPEB Amounts_Report'!A121,'Change in Proportion Layers'!$A$8:$A$324,0))</f>
        <v>576756</v>
      </c>
      <c r="M121" s="122">
        <f t="shared" si="3"/>
        <v>3471104</v>
      </c>
      <c r="N121" s="123"/>
      <c r="O121" s="123">
        <f>ROUND(VLOOKUP(A121,'Contribution Allocation_Report'!$A$9:$D$311,4,FALSE)*'OPEB Amounts_Report'!$O$326,0)</f>
        <v>-684528</v>
      </c>
      <c r="P121" s="123">
        <f>INDEX('Change in Proportion Layers'!$AA$8:$AA$324,MATCH('OPEB Amounts_Report'!A121,'Change in Proportion Layers'!$A$8:$A$324,0))</f>
        <v>-224073</v>
      </c>
      <c r="Q121" s="123">
        <f t="shared" si="5"/>
        <v>-908601</v>
      </c>
    </row>
    <row r="122" spans="1:17" ht="12" customHeight="1">
      <c r="A122" s="164">
        <v>14044</v>
      </c>
      <c r="B122" s="168" t="s">
        <v>110</v>
      </c>
      <c r="C122" s="120">
        <f>ROUND(VLOOKUP(A122,'Contribution Allocation_Report'!$A$9:$D$311,4,FALSE)*'OPEB Amounts_Report'!$C$326,0)</f>
        <v>10343389</v>
      </c>
      <c r="D122" s="120">
        <f>ROUND(VLOOKUP(A122,'Contribution Allocation_Report'!$A$9:$D$311,4,FALSE)*'OPEB Amounts_Report'!$D$326,0)</f>
        <v>172041</v>
      </c>
      <c r="E122" s="120">
        <f>ROUND(VLOOKUP(A122,'Contribution Allocation_Report'!$A$9:$D$311,4,FALSE)*'OPEB Amounts_Report'!$E$326,0)</f>
        <v>142626</v>
      </c>
      <c r="F122" s="120">
        <f>ROUND(VLOOKUP(A122,'Contribution Allocation_Report'!$A$9:$D$311,4,FALSE)*'OPEB Amounts_Report'!$F$326,0)</f>
        <v>2207034</v>
      </c>
      <c r="G122" s="120">
        <f>INDEX('Change in Proportion Layers'!$AC$8:$AC$324,MATCH('OPEB Amounts_Report'!A122,'Change in Proportion Layers'!$A$8:$A$324,0))</f>
        <v>490796</v>
      </c>
      <c r="H122" s="120">
        <f t="shared" si="4"/>
        <v>3012497</v>
      </c>
      <c r="I122" s="120"/>
      <c r="J122" s="120">
        <f>ROUND(VLOOKUP(A122,'Contribution Allocation_Report'!$A$9:$D$311,4,FALSE)*'OPEB Amounts_Report'!$J$326,0)</f>
        <v>1533110</v>
      </c>
      <c r="K122" s="120">
        <f>ROUND(VLOOKUP(A122,'Contribution Allocation_Report'!$A$9:$D$311,4,FALSE)*'OPEB Amounts_Report'!$K$326,0)</f>
        <v>7667438</v>
      </c>
      <c r="L122" s="130">
        <f>INDEX('Change in Proportion Layers'!$AD$8:$AD$324,MATCH('OPEB Amounts_Report'!A122,'Change in Proportion Layers'!$A$8:$A$324,0))</f>
        <v>1314416</v>
      </c>
      <c r="M122" s="120">
        <f t="shared" si="3"/>
        <v>10514964</v>
      </c>
      <c r="N122" s="121"/>
      <c r="O122" s="121">
        <f>ROUND(VLOOKUP(A122,'Contribution Allocation_Report'!$A$9:$D$311,4,FALSE)*'OPEB Amounts_Report'!$O$326,0)</f>
        <v>-2175975</v>
      </c>
      <c r="P122" s="121">
        <f>INDEX('Change in Proportion Layers'!$AA$8:$AA$324,MATCH('OPEB Amounts_Report'!A122,'Change in Proportion Layers'!$A$8:$A$324,0))</f>
        <v>-231327</v>
      </c>
      <c r="Q122" s="121">
        <f t="shared" si="5"/>
        <v>-2407302</v>
      </c>
    </row>
    <row r="123" spans="1:17" ht="12" customHeight="1">
      <c r="A123" s="166">
        <v>4009</v>
      </c>
      <c r="B123" s="167" t="s">
        <v>111</v>
      </c>
      <c r="C123" s="122">
        <f>ROUND(VLOOKUP(A123,'Contribution Allocation_Report'!$A$9:$D$311,4,FALSE)*'OPEB Amounts_Report'!$C$326,0)</f>
        <v>1341515</v>
      </c>
      <c r="D123" s="122">
        <f>ROUND(VLOOKUP(A123,'Contribution Allocation_Report'!$A$9:$D$311,4,FALSE)*'OPEB Amounts_Report'!$D$326,0)</f>
        <v>22313</v>
      </c>
      <c r="E123" s="122">
        <f>ROUND(VLOOKUP(A123,'Contribution Allocation_Report'!$A$9:$D$311,4,FALSE)*'OPEB Amounts_Report'!$E$326,0)</f>
        <v>18498</v>
      </c>
      <c r="F123" s="122">
        <f>ROUND(VLOOKUP(A123,'Contribution Allocation_Report'!$A$9:$D$311,4,FALSE)*'OPEB Amounts_Report'!$F$326,0)</f>
        <v>286247</v>
      </c>
      <c r="G123" s="122">
        <f>INDEX('Change in Proportion Layers'!$AC$8:$AC$324,MATCH('OPEB Amounts_Report'!A123,'Change in Proportion Layers'!$A$8:$A$324,0))</f>
        <v>11906</v>
      </c>
      <c r="H123" s="122">
        <f t="shared" si="4"/>
        <v>338964</v>
      </c>
      <c r="I123" s="122"/>
      <c r="J123" s="122">
        <f>ROUND(VLOOKUP(A123,'Contribution Allocation_Report'!$A$9:$D$311,4,FALSE)*'OPEB Amounts_Report'!$J$326,0)</f>
        <v>198841</v>
      </c>
      <c r="K123" s="122">
        <f>ROUND(VLOOKUP(A123,'Contribution Allocation_Report'!$A$9:$D$311,4,FALSE)*'OPEB Amounts_Report'!$K$326,0)</f>
        <v>994450</v>
      </c>
      <c r="L123" s="122">
        <f>INDEX('Change in Proportion Layers'!$AD$8:$AD$324,MATCH('OPEB Amounts_Report'!A123,'Change in Proportion Layers'!$A$8:$A$324,0))</f>
        <v>388223</v>
      </c>
      <c r="M123" s="122">
        <f t="shared" si="3"/>
        <v>1581514</v>
      </c>
      <c r="N123" s="123"/>
      <c r="O123" s="123">
        <f>ROUND(VLOOKUP(A123,'Contribution Allocation_Report'!$A$9:$D$311,4,FALSE)*'OPEB Amounts_Report'!$O$326,0)</f>
        <v>-282219</v>
      </c>
      <c r="P123" s="123">
        <f>INDEX('Change in Proportion Layers'!$AA$8:$AA$324,MATCH('OPEB Amounts_Report'!A123,'Change in Proportion Layers'!$A$8:$A$324,0))</f>
        <v>-101878</v>
      </c>
      <c r="Q123" s="123">
        <f t="shared" si="5"/>
        <v>-384097</v>
      </c>
    </row>
    <row r="124" spans="1:17" ht="12" customHeight="1">
      <c r="A124" s="164">
        <v>7022</v>
      </c>
      <c r="B124" s="168" t="s">
        <v>112</v>
      </c>
      <c r="C124" s="120">
        <f>ROUND(VLOOKUP(A124,'Contribution Allocation_Report'!$A$9:$D$311,4,FALSE)*'OPEB Amounts_Report'!$C$326,0)</f>
        <v>4164125</v>
      </c>
      <c r="D124" s="120">
        <f>ROUND(VLOOKUP(A124,'Contribution Allocation_Report'!$A$9:$D$311,4,FALSE)*'OPEB Amounts_Report'!$D$326,0)</f>
        <v>69262</v>
      </c>
      <c r="E124" s="120">
        <f>ROUND(VLOOKUP(A124,'Contribution Allocation_Report'!$A$9:$D$311,4,FALSE)*'OPEB Amounts_Report'!$E$326,0)</f>
        <v>57419</v>
      </c>
      <c r="F124" s="120">
        <f>ROUND(VLOOKUP(A124,'Contribution Allocation_Report'!$A$9:$D$311,4,FALSE)*'OPEB Amounts_Report'!$F$326,0)</f>
        <v>888526</v>
      </c>
      <c r="G124" s="120">
        <f>INDEX('Change in Proportion Layers'!$AC$8:$AC$324,MATCH('OPEB Amounts_Report'!A124,'Change in Proportion Layers'!$A$8:$A$324,0))</f>
        <v>644991</v>
      </c>
      <c r="H124" s="120">
        <f t="shared" si="4"/>
        <v>1660198</v>
      </c>
      <c r="I124" s="120"/>
      <c r="J124" s="120">
        <f>ROUND(VLOOKUP(A124,'Contribution Allocation_Report'!$A$9:$D$311,4,FALSE)*'OPEB Amounts_Report'!$J$326,0)</f>
        <v>617212</v>
      </c>
      <c r="K124" s="120">
        <f>ROUND(VLOOKUP(A124,'Contribution Allocation_Report'!$A$9:$D$311,4,FALSE)*'OPEB Amounts_Report'!$K$326,0)</f>
        <v>3086819</v>
      </c>
      <c r="L124" s="120">
        <f>INDEX('Change in Proportion Layers'!$AD$8:$AD$324,MATCH('OPEB Amounts_Report'!A124,'Change in Proportion Layers'!$A$8:$A$324,0))</f>
        <v>87344</v>
      </c>
      <c r="M124" s="120">
        <f t="shared" si="3"/>
        <v>3791375</v>
      </c>
      <c r="N124" s="121"/>
      <c r="O124" s="121">
        <f>ROUND(VLOOKUP(A124,'Contribution Allocation_Report'!$A$9:$D$311,4,FALSE)*'OPEB Amounts_Report'!$O$326,0)</f>
        <v>-876022</v>
      </c>
      <c r="P124" s="121">
        <f>INDEX('Change in Proportion Layers'!$AA$8:$AA$324,MATCH('OPEB Amounts_Report'!A124,'Change in Proportion Layers'!$A$8:$A$324,0))</f>
        <v>122473</v>
      </c>
      <c r="Q124" s="121">
        <f t="shared" si="5"/>
        <v>-753549</v>
      </c>
    </row>
    <row r="125" spans="1:17" ht="12" customHeight="1">
      <c r="A125" s="166">
        <v>2430</v>
      </c>
      <c r="B125" s="167" t="s">
        <v>113</v>
      </c>
      <c r="C125" s="122">
        <f>ROUND(VLOOKUP(A125,'Contribution Allocation_Report'!$A$9:$D$311,4,FALSE)*'OPEB Amounts_Report'!$C$326,0)</f>
        <v>593344</v>
      </c>
      <c r="D125" s="122">
        <f>ROUND(VLOOKUP(A125,'Contribution Allocation_Report'!$A$9:$D$311,4,FALSE)*'OPEB Amounts_Report'!$D$326,0)</f>
        <v>9869</v>
      </c>
      <c r="E125" s="122">
        <f>ROUND(VLOOKUP(A125,'Contribution Allocation_Report'!$A$9:$D$311,4,FALSE)*'OPEB Amounts_Report'!$E$326,0)</f>
        <v>8182</v>
      </c>
      <c r="F125" s="122">
        <f>ROUND(VLOOKUP(A125,'Contribution Allocation_Report'!$A$9:$D$311,4,FALSE)*'OPEB Amounts_Report'!$F$326,0)</f>
        <v>126606</v>
      </c>
      <c r="G125" s="122">
        <f>INDEX('Change in Proportion Layers'!$AC$8:$AC$324,MATCH('OPEB Amounts_Report'!A125,'Change in Proportion Layers'!$A$8:$A$324,0))</f>
        <v>22606</v>
      </c>
      <c r="H125" s="122">
        <f t="shared" si="4"/>
        <v>167263</v>
      </c>
      <c r="I125" s="122"/>
      <c r="J125" s="122">
        <f>ROUND(VLOOKUP(A125,'Contribution Allocation_Report'!$A$9:$D$311,4,FALSE)*'OPEB Amounts_Report'!$J$326,0)</f>
        <v>87946</v>
      </c>
      <c r="K125" s="122">
        <f>ROUND(VLOOKUP(A125,'Contribution Allocation_Report'!$A$9:$D$311,4,FALSE)*'OPEB Amounts_Report'!$K$326,0)</f>
        <v>439839</v>
      </c>
      <c r="L125" s="122">
        <f>INDEX('Change in Proportion Layers'!$AD$8:$AD$324,MATCH('OPEB Amounts_Report'!A125,'Change in Proportion Layers'!$A$8:$A$324,0))</f>
        <v>165338</v>
      </c>
      <c r="M125" s="122">
        <f t="shared" si="3"/>
        <v>693123</v>
      </c>
      <c r="N125" s="123"/>
      <c r="O125" s="123">
        <f>ROUND(VLOOKUP(A125,'Contribution Allocation_Report'!$A$9:$D$311,4,FALSE)*'OPEB Amounts_Report'!$O$326,0)</f>
        <v>-124824</v>
      </c>
      <c r="P125" s="123">
        <f>INDEX('Change in Proportion Layers'!$AA$8:$AA$324,MATCH('OPEB Amounts_Report'!A125,'Change in Proportion Layers'!$A$8:$A$324,0))</f>
        <v>-29022</v>
      </c>
      <c r="Q125" s="123">
        <f t="shared" si="5"/>
        <v>-153846</v>
      </c>
    </row>
    <row r="126" spans="1:17" ht="12" customHeight="1">
      <c r="A126" s="164">
        <v>9150</v>
      </c>
      <c r="B126" s="168" t="s">
        <v>114</v>
      </c>
      <c r="C126" s="120">
        <f>ROUND(VLOOKUP(A126,'Contribution Allocation_Report'!$A$9:$D$311,4,FALSE)*'OPEB Amounts_Report'!$C$326,0)</f>
        <v>309540</v>
      </c>
      <c r="D126" s="120">
        <f>ROUND(VLOOKUP(A126,'Contribution Allocation_Report'!$A$9:$D$311,4,FALSE)*'OPEB Amounts_Report'!$D$326,0)</f>
        <v>5149</v>
      </c>
      <c r="E126" s="120">
        <f>ROUND(VLOOKUP(A126,'Contribution Allocation_Report'!$A$9:$D$311,4,FALSE)*'OPEB Amounts_Report'!$E$326,0)</f>
        <v>4268</v>
      </c>
      <c r="F126" s="120">
        <f>ROUND(VLOOKUP(A126,'Contribution Allocation_Report'!$A$9:$D$311,4,FALSE)*'OPEB Amounts_Report'!$F$326,0)</f>
        <v>66049</v>
      </c>
      <c r="G126" s="120">
        <f>INDEX('Change in Proportion Layers'!$AC$8:$AC$324,MATCH('OPEB Amounts_Report'!A126,'Change in Proportion Layers'!$A$8:$A$324,0))</f>
        <v>0</v>
      </c>
      <c r="H126" s="120">
        <f t="shared" si="4"/>
        <v>75466</v>
      </c>
      <c r="I126" s="120"/>
      <c r="J126" s="120">
        <f>ROUND(VLOOKUP(A126,'Contribution Allocation_Report'!$A$9:$D$311,4,FALSE)*'OPEB Amounts_Report'!$J$326,0)</f>
        <v>45880</v>
      </c>
      <c r="K126" s="120">
        <f>ROUND(VLOOKUP(A126,'Contribution Allocation_Report'!$A$9:$D$311,4,FALSE)*'OPEB Amounts_Report'!$K$326,0)</f>
        <v>229459</v>
      </c>
      <c r="L126" s="120">
        <f>INDEX('Change in Proportion Layers'!$AD$8:$AD$324,MATCH('OPEB Amounts_Report'!A126,'Change in Proportion Layers'!$A$8:$A$324,0))</f>
        <v>774167</v>
      </c>
      <c r="M126" s="120">
        <f t="shared" si="3"/>
        <v>1049506</v>
      </c>
      <c r="N126" s="121"/>
      <c r="O126" s="121">
        <f>ROUND(VLOOKUP(A126,'Contribution Allocation_Report'!$A$9:$D$311,4,FALSE)*'OPEB Amounts_Report'!$O$326,0)</f>
        <v>-65119</v>
      </c>
      <c r="P126" s="121">
        <f>INDEX('Change in Proportion Layers'!$AA$8:$AA$324,MATCH('OPEB Amounts_Report'!A126,'Change in Proportion Layers'!$A$8:$A$324,0))</f>
        <v>-588968</v>
      </c>
      <c r="Q126" s="121">
        <f t="shared" si="5"/>
        <v>-654087</v>
      </c>
    </row>
    <row r="127" spans="1:17" ht="12" customHeight="1">
      <c r="A127" s="166">
        <v>6017</v>
      </c>
      <c r="B127" s="167" t="s">
        <v>115</v>
      </c>
      <c r="C127" s="122">
        <f>ROUND(VLOOKUP(A127,'Contribution Allocation_Report'!$A$9:$D$311,4,FALSE)*'OPEB Amounts_Report'!$C$326,0)</f>
        <v>29018918</v>
      </c>
      <c r="D127" s="122">
        <f>ROUND(VLOOKUP(A127,'Contribution Allocation_Report'!$A$9:$D$311,4,FALSE)*'OPEB Amounts_Report'!$D$326,0)</f>
        <v>482670</v>
      </c>
      <c r="E127" s="122">
        <f>ROUND(VLOOKUP(A127,'Contribution Allocation_Report'!$A$9:$D$311,4,FALSE)*'OPEB Amounts_Report'!$E$326,0)</f>
        <v>400144</v>
      </c>
      <c r="F127" s="122">
        <f>ROUND(VLOOKUP(A127,'Contribution Allocation_Report'!$A$9:$D$311,4,FALSE)*'OPEB Amounts_Report'!$F$326,0)</f>
        <v>6191949</v>
      </c>
      <c r="G127" s="122">
        <f>INDEX('Change in Proportion Layers'!$AC$8:$AC$324,MATCH('OPEB Amounts_Report'!A127,'Change in Proportion Layers'!$A$8:$A$324,0))</f>
        <v>4704821</v>
      </c>
      <c r="H127" s="122">
        <f t="shared" si="4"/>
        <v>11779584</v>
      </c>
      <c r="I127" s="122"/>
      <c r="J127" s="122">
        <f>ROUND(VLOOKUP(A127,'Contribution Allocation_Report'!$A$9:$D$311,4,FALSE)*'OPEB Amounts_Report'!$J$326,0)</f>
        <v>4301220</v>
      </c>
      <c r="K127" s="122">
        <f>ROUND(VLOOKUP(A127,'Contribution Allocation_Report'!$A$9:$D$311,4,FALSE)*'OPEB Amounts_Report'!$K$326,0)</f>
        <v>21511397</v>
      </c>
      <c r="L127" s="131">
        <f>INDEX('Change in Proportion Layers'!$AD$8:$AD$324,MATCH('OPEB Amounts_Report'!A127,'Change in Proportion Layers'!$A$8:$A$324,0))</f>
        <v>1307104</v>
      </c>
      <c r="M127" s="122">
        <f t="shared" si="3"/>
        <v>27119721</v>
      </c>
      <c r="N127" s="123"/>
      <c r="O127" s="123">
        <f>ROUND(VLOOKUP(A127,'Contribution Allocation_Report'!$A$9:$D$311,4,FALSE)*'OPEB Amounts_Report'!$O$326,0)</f>
        <v>-6104812</v>
      </c>
      <c r="P127" s="123">
        <f>INDEX('Change in Proportion Layers'!$AA$8:$AA$324,MATCH('OPEB Amounts_Report'!A127,'Change in Proportion Layers'!$A$8:$A$324,0))</f>
        <v>441065</v>
      </c>
      <c r="Q127" s="123">
        <f t="shared" si="5"/>
        <v>-5663747</v>
      </c>
    </row>
    <row r="128" spans="1:17" ht="12" customHeight="1">
      <c r="A128" s="164">
        <v>26080</v>
      </c>
      <c r="B128" s="168" t="s">
        <v>116</v>
      </c>
      <c r="C128" s="120">
        <f>ROUND(VLOOKUP(A128,'Contribution Allocation_Report'!$A$9:$D$311,4,FALSE)*'OPEB Amounts_Report'!$C$326,0)</f>
        <v>930896</v>
      </c>
      <c r="D128" s="120">
        <f>ROUND(VLOOKUP(A128,'Contribution Allocation_Report'!$A$9:$D$311,4,FALSE)*'OPEB Amounts_Report'!$D$326,0)</f>
        <v>15484</v>
      </c>
      <c r="E128" s="120">
        <f>ROUND(VLOOKUP(A128,'Contribution Allocation_Report'!$A$9:$D$311,4,FALSE)*'OPEB Amounts_Report'!$E$326,0)</f>
        <v>12836</v>
      </c>
      <c r="F128" s="120">
        <f>ROUND(VLOOKUP(A128,'Contribution Allocation_Report'!$A$9:$D$311,4,FALSE)*'OPEB Amounts_Report'!$F$326,0)</f>
        <v>198631</v>
      </c>
      <c r="G128" s="120">
        <f>INDEX('Change in Proportion Layers'!$AC$8:$AC$324,MATCH('OPEB Amounts_Report'!A128,'Change in Proportion Layers'!$A$8:$A$324,0))</f>
        <v>284971</v>
      </c>
      <c r="H128" s="120">
        <f t="shared" si="4"/>
        <v>511922</v>
      </c>
      <c r="I128" s="120"/>
      <c r="J128" s="120">
        <f>ROUND(VLOOKUP(A128,'Contribution Allocation_Report'!$A$9:$D$311,4,FALSE)*'OPEB Amounts_Report'!$J$326,0)</f>
        <v>137979</v>
      </c>
      <c r="K128" s="120">
        <f>ROUND(VLOOKUP(A128,'Contribution Allocation_Report'!$A$9:$D$311,4,FALSE)*'OPEB Amounts_Report'!$K$326,0)</f>
        <v>690062</v>
      </c>
      <c r="L128" s="130">
        <f>INDEX('Change in Proportion Layers'!$AD$8:$AD$324,MATCH('OPEB Amounts_Report'!A128,'Change in Proportion Layers'!$A$8:$A$324,0))</f>
        <v>0</v>
      </c>
      <c r="M128" s="120">
        <f t="shared" si="3"/>
        <v>828041</v>
      </c>
      <c r="N128" s="121"/>
      <c r="O128" s="121">
        <f>ROUND(VLOOKUP(A128,'Contribution Allocation_Report'!$A$9:$D$311,4,FALSE)*'OPEB Amounts_Report'!$O$326,0)</f>
        <v>-195836</v>
      </c>
      <c r="P128" s="121">
        <f>INDEX('Change in Proportion Layers'!$AA$8:$AA$324,MATCH('OPEB Amounts_Report'!A128,'Change in Proportion Layers'!$A$8:$A$324,0))</f>
        <v>69042</v>
      </c>
      <c r="Q128" s="121">
        <f t="shared" si="5"/>
        <v>-126794</v>
      </c>
    </row>
    <row r="129" spans="1:17" ht="12" customHeight="1">
      <c r="A129" s="166">
        <v>2327</v>
      </c>
      <c r="B129" s="167" t="s">
        <v>117</v>
      </c>
      <c r="C129" s="122">
        <f>ROUND(VLOOKUP(A129,'Contribution Allocation_Report'!$A$9:$D$311,4,FALSE)*'OPEB Amounts_Report'!$C$326,0)</f>
        <v>997591</v>
      </c>
      <c r="D129" s="122">
        <f>ROUND(VLOOKUP(A129,'Contribution Allocation_Report'!$A$9:$D$311,4,FALSE)*'OPEB Amounts_Report'!$D$326,0)</f>
        <v>16593</v>
      </c>
      <c r="E129" s="122">
        <f>ROUND(VLOOKUP(A129,'Contribution Allocation_Report'!$A$9:$D$311,4,FALSE)*'OPEB Amounts_Report'!$E$326,0)</f>
        <v>13756</v>
      </c>
      <c r="F129" s="122">
        <f>ROUND(VLOOKUP(A129,'Contribution Allocation_Report'!$A$9:$D$311,4,FALSE)*'OPEB Amounts_Report'!$F$326,0)</f>
        <v>212862</v>
      </c>
      <c r="G129" s="122">
        <f>INDEX('Change in Proportion Layers'!$AC$8:$AC$324,MATCH('OPEB Amounts_Report'!A129,'Change in Proportion Layers'!$A$8:$A$324,0))</f>
        <v>73385</v>
      </c>
      <c r="H129" s="122">
        <f t="shared" si="4"/>
        <v>316596</v>
      </c>
      <c r="I129" s="122"/>
      <c r="J129" s="122">
        <f>ROUND(VLOOKUP(A129,'Contribution Allocation_Report'!$A$9:$D$311,4,FALSE)*'OPEB Amounts_Report'!$J$326,0)</f>
        <v>147864</v>
      </c>
      <c r="K129" s="122">
        <f>ROUND(VLOOKUP(A129,'Contribution Allocation_Report'!$A$9:$D$311,4,FALSE)*'OPEB Amounts_Report'!$K$326,0)</f>
        <v>739503</v>
      </c>
      <c r="L129" s="131">
        <f>INDEX('Change in Proportion Layers'!$AD$8:$AD$324,MATCH('OPEB Amounts_Report'!A129,'Change in Proportion Layers'!$A$8:$A$324,0))</f>
        <v>141717</v>
      </c>
      <c r="M129" s="122">
        <f t="shared" si="3"/>
        <v>1029084</v>
      </c>
      <c r="N129" s="123"/>
      <c r="O129" s="123">
        <f>ROUND(VLOOKUP(A129,'Contribution Allocation_Report'!$A$9:$D$311,4,FALSE)*'OPEB Amounts_Report'!$O$326,0)</f>
        <v>-209867</v>
      </c>
      <c r="P129" s="123">
        <f>INDEX('Change in Proportion Layers'!$AA$8:$AA$324,MATCH('OPEB Amounts_Report'!A129,'Change in Proportion Layers'!$A$8:$A$324,0))</f>
        <v>-114</v>
      </c>
      <c r="Q129" s="123">
        <f t="shared" si="5"/>
        <v>-209981</v>
      </c>
    </row>
    <row r="130" spans="1:17" ht="12" customHeight="1">
      <c r="A130" s="164">
        <v>10119</v>
      </c>
      <c r="B130" s="168" t="s">
        <v>118</v>
      </c>
      <c r="C130" s="120">
        <f>ROUND(VLOOKUP(A130,'Contribution Allocation_Report'!$A$9:$D$311,4,FALSE)*'OPEB Amounts_Report'!$C$326,0)</f>
        <v>507511</v>
      </c>
      <c r="D130" s="120">
        <f>ROUND(VLOOKUP(A130,'Contribution Allocation_Report'!$A$9:$D$311,4,FALSE)*'OPEB Amounts_Report'!$D$326,0)</f>
        <v>8441</v>
      </c>
      <c r="E130" s="120">
        <f>ROUND(VLOOKUP(A130,'Contribution Allocation_Report'!$A$9:$D$311,4,FALSE)*'OPEB Amounts_Report'!$E$326,0)</f>
        <v>6998</v>
      </c>
      <c r="F130" s="120">
        <f>ROUND(VLOOKUP(A130,'Contribution Allocation_Report'!$A$9:$D$311,4,FALSE)*'OPEB Amounts_Report'!$F$326,0)</f>
        <v>108291</v>
      </c>
      <c r="G130" s="120">
        <f>INDEX('Change in Proportion Layers'!$AC$8:$AC$324,MATCH('OPEB Amounts_Report'!A130,'Change in Proportion Layers'!$A$8:$A$324,0))</f>
        <v>18374</v>
      </c>
      <c r="H130" s="120">
        <f t="shared" si="4"/>
        <v>142104</v>
      </c>
      <c r="I130" s="120"/>
      <c r="J130" s="120">
        <f>ROUND(VLOOKUP(A130,'Contribution Allocation_Report'!$A$9:$D$311,4,FALSE)*'OPEB Amounts_Report'!$J$326,0)</f>
        <v>75224</v>
      </c>
      <c r="K130" s="120">
        <f>ROUND(VLOOKUP(A130,'Contribution Allocation_Report'!$A$9:$D$311,4,FALSE)*'OPEB Amounts_Report'!$K$326,0)</f>
        <v>376212</v>
      </c>
      <c r="L130" s="130">
        <f>INDEX('Change in Proportion Layers'!$AD$8:$AD$324,MATCH('OPEB Amounts_Report'!A130,'Change in Proportion Layers'!$A$8:$A$324,0))</f>
        <v>149028</v>
      </c>
      <c r="M130" s="120">
        <f t="shared" si="3"/>
        <v>600464</v>
      </c>
      <c r="N130" s="121"/>
      <c r="O130" s="121">
        <f>ROUND(VLOOKUP(A130,'Contribution Allocation_Report'!$A$9:$D$311,4,FALSE)*'OPEB Amounts_Report'!$O$326,0)</f>
        <v>-106767</v>
      </c>
      <c r="P130" s="121">
        <f>INDEX('Change in Proportion Layers'!$AA$8:$AA$324,MATCH('OPEB Amounts_Report'!A130,'Change in Proportion Layers'!$A$8:$A$324,0))</f>
        <v>-62837</v>
      </c>
      <c r="Q130" s="121">
        <f t="shared" si="5"/>
        <v>-169604</v>
      </c>
    </row>
    <row r="131" spans="1:17" ht="12" customHeight="1">
      <c r="A131" s="166">
        <v>573</v>
      </c>
      <c r="B131" s="167" t="s">
        <v>411</v>
      </c>
      <c r="C131" s="122">
        <f>ROUND(VLOOKUP(A131,'Contribution Allocation_Report'!$A$9:$D$311,4,FALSE)*'OPEB Amounts_Report'!$C$326,0)</f>
        <v>1299235</v>
      </c>
      <c r="D131" s="122">
        <f>ROUND(VLOOKUP(A131,'Contribution Allocation_Report'!$A$9:$D$311,4,FALSE)*'OPEB Amounts_Report'!$D$326,0)</f>
        <v>21610</v>
      </c>
      <c r="E131" s="122">
        <f>ROUND(VLOOKUP(A131,'Contribution Allocation_Report'!$A$9:$D$311,4,FALSE)*'OPEB Amounts_Report'!$E$326,0)</f>
        <v>17915</v>
      </c>
      <c r="F131" s="122">
        <f>ROUND(VLOOKUP(A131,'Contribution Allocation_Report'!$A$9:$D$311,4,FALSE)*'OPEB Amounts_Report'!$F$326,0)</f>
        <v>277226</v>
      </c>
      <c r="G131" s="122">
        <f>INDEX('Change in Proportion Layers'!$AC$8:$AC$324,MATCH('OPEB Amounts_Report'!A131,'Change in Proportion Layers'!$A$8:$A$324,0))</f>
        <v>1561595</v>
      </c>
      <c r="H131" s="122">
        <f t="shared" si="4"/>
        <v>1878346</v>
      </c>
      <c r="I131" s="122"/>
      <c r="J131" s="122">
        <f>ROUND(VLOOKUP(A131,'Contribution Allocation_Report'!$A$9:$D$311,4,FALSE)*'OPEB Amounts_Report'!$J$326,0)</f>
        <v>192574</v>
      </c>
      <c r="K131" s="122">
        <f>ROUND(VLOOKUP(A131,'Contribution Allocation_Report'!$A$9:$D$311,4,FALSE)*'OPEB Amounts_Report'!$K$326,0)</f>
        <v>963109</v>
      </c>
      <c r="L131" s="131">
        <f>INDEX('Change in Proportion Layers'!$AD$8:$AD$324,MATCH('OPEB Amounts_Report'!A131,'Change in Proportion Layers'!$A$8:$A$324,0))</f>
        <v>0</v>
      </c>
      <c r="M131" s="122">
        <f t="shared" si="3"/>
        <v>1155683</v>
      </c>
      <c r="N131" s="123"/>
      <c r="O131" s="123">
        <f>ROUND(VLOOKUP(A131,'Contribution Allocation_Report'!$A$9:$D$311,4,FALSE)*'OPEB Amounts_Report'!$O$326,0)</f>
        <v>-273325</v>
      </c>
      <c r="P131" s="123">
        <f>INDEX('Change in Proportion Layers'!$AA$8:$AA$324,MATCH('OPEB Amounts_Report'!A131,'Change in Proportion Layers'!$A$8:$A$324,0))</f>
        <v>473228</v>
      </c>
      <c r="Q131" s="123">
        <f t="shared" si="5"/>
        <v>199903</v>
      </c>
    </row>
    <row r="132" spans="1:17" ht="12" customHeight="1">
      <c r="A132" s="164">
        <v>2368</v>
      </c>
      <c r="B132" s="168" t="s">
        <v>119</v>
      </c>
      <c r="C132" s="120">
        <f>ROUND(VLOOKUP(A132,'Contribution Allocation_Report'!$A$9:$D$311,4,FALSE)*'OPEB Amounts_Report'!$C$326,0)</f>
        <v>973084</v>
      </c>
      <c r="D132" s="120">
        <f>ROUND(VLOOKUP(A132,'Contribution Allocation_Report'!$A$9:$D$311,4,FALSE)*'OPEB Amounts_Report'!$D$326,0)</f>
        <v>16185</v>
      </c>
      <c r="E132" s="120">
        <f>ROUND(VLOOKUP(A132,'Contribution Allocation_Report'!$A$9:$D$311,4,FALSE)*'OPEB Amounts_Report'!$E$326,0)</f>
        <v>13418</v>
      </c>
      <c r="F132" s="120">
        <f>ROUND(VLOOKUP(A132,'Contribution Allocation_Report'!$A$9:$D$311,4,FALSE)*'OPEB Amounts_Report'!$F$326,0)</f>
        <v>207633</v>
      </c>
      <c r="G132" s="120">
        <f>INDEX('Change in Proportion Layers'!$AC$8:$AC$324,MATCH('OPEB Amounts_Report'!A132,'Change in Proportion Layers'!$A$8:$A$324,0))</f>
        <v>462015</v>
      </c>
      <c r="H132" s="120">
        <f t="shared" si="4"/>
        <v>699251</v>
      </c>
      <c r="I132" s="120"/>
      <c r="J132" s="120">
        <f>ROUND(VLOOKUP(A132,'Contribution Allocation_Report'!$A$9:$D$311,4,FALSE)*'OPEB Amounts_Report'!$J$326,0)</f>
        <v>144232</v>
      </c>
      <c r="K132" s="120">
        <f>ROUND(VLOOKUP(A132,'Contribution Allocation_Report'!$A$9:$D$311,4,FALSE)*'OPEB Amounts_Report'!$K$326,0)</f>
        <v>721336</v>
      </c>
      <c r="L132" s="120">
        <f>INDEX('Change in Proportion Layers'!$AD$8:$AD$324,MATCH('OPEB Amounts_Report'!A132,'Change in Proportion Layers'!$A$8:$A$324,0))</f>
        <v>371541</v>
      </c>
      <c r="M132" s="120">
        <f t="shared" si="3"/>
        <v>1237109</v>
      </c>
      <c r="N132" s="121"/>
      <c r="O132" s="121">
        <f>ROUND(VLOOKUP(A132,'Contribution Allocation_Report'!$A$9:$D$311,4,FALSE)*'OPEB Amounts_Report'!$O$326,0)</f>
        <v>-204711</v>
      </c>
      <c r="P132" s="121">
        <f>INDEX('Change in Proportion Layers'!$AA$8:$AA$324,MATCH('OPEB Amounts_Report'!A132,'Change in Proportion Layers'!$A$8:$A$324,0))</f>
        <v>55114</v>
      </c>
      <c r="Q132" s="121">
        <f t="shared" si="5"/>
        <v>-149597</v>
      </c>
    </row>
    <row r="133" spans="1:17" ht="12" customHeight="1">
      <c r="A133" s="166">
        <v>7420</v>
      </c>
      <c r="B133" s="167" t="s">
        <v>120</v>
      </c>
      <c r="C133" s="122">
        <f>ROUND(VLOOKUP(A133,'Contribution Allocation_Report'!$A$9:$D$311,4,FALSE)*'OPEB Amounts_Report'!$C$326,0)</f>
        <v>592775</v>
      </c>
      <c r="D133" s="122">
        <f>ROUND(VLOOKUP(A133,'Contribution Allocation_Report'!$A$9:$D$311,4,FALSE)*'OPEB Amounts_Report'!$D$326,0)</f>
        <v>9860</v>
      </c>
      <c r="E133" s="122">
        <f>ROUND(VLOOKUP(A133,'Contribution Allocation_Report'!$A$9:$D$311,4,FALSE)*'OPEB Amounts_Report'!$E$326,0)</f>
        <v>8174</v>
      </c>
      <c r="F133" s="122">
        <f>ROUND(VLOOKUP(A133,'Contribution Allocation_Report'!$A$9:$D$311,4,FALSE)*'OPEB Amounts_Report'!$F$326,0)</f>
        <v>126484</v>
      </c>
      <c r="G133" s="122">
        <f>INDEX('Change in Proportion Layers'!$AC$8:$AC$324,MATCH('OPEB Amounts_Report'!A133,'Change in Proportion Layers'!$A$8:$A$324,0))</f>
        <v>175730</v>
      </c>
      <c r="H133" s="122">
        <f t="shared" si="4"/>
        <v>320248</v>
      </c>
      <c r="I133" s="122"/>
      <c r="J133" s="122">
        <f>ROUND(VLOOKUP(A133,'Contribution Allocation_Report'!$A$9:$D$311,4,FALSE)*'OPEB Amounts_Report'!$J$326,0)</f>
        <v>87862</v>
      </c>
      <c r="K133" s="122">
        <f>ROUND(VLOOKUP(A133,'Contribution Allocation_Report'!$A$9:$D$311,4,FALSE)*'OPEB Amounts_Report'!$K$326,0)</f>
        <v>439417</v>
      </c>
      <c r="L133" s="131">
        <f>INDEX('Change in Proportion Layers'!$AD$8:$AD$324,MATCH('OPEB Amounts_Report'!A133,'Change in Proportion Layers'!$A$8:$A$324,0))</f>
        <v>9468</v>
      </c>
      <c r="M133" s="122">
        <f t="shared" si="3"/>
        <v>536747</v>
      </c>
      <c r="N133" s="123"/>
      <c r="O133" s="123">
        <f>ROUND(VLOOKUP(A133,'Contribution Allocation_Report'!$A$9:$D$311,4,FALSE)*'OPEB Amounts_Report'!$O$326,0)</f>
        <v>-124704</v>
      </c>
      <c r="P133" s="123">
        <f>INDEX('Change in Proportion Layers'!$AA$8:$AA$324,MATCH('OPEB Amounts_Report'!A133,'Change in Proportion Layers'!$A$8:$A$324,0))</f>
        <v>78670</v>
      </c>
      <c r="Q133" s="123">
        <f t="shared" si="5"/>
        <v>-46034</v>
      </c>
    </row>
    <row r="134" spans="1:17" ht="12" customHeight="1">
      <c r="A134" s="164">
        <v>6018</v>
      </c>
      <c r="B134" s="168" t="s">
        <v>121</v>
      </c>
      <c r="C134" s="120">
        <f>ROUND(VLOOKUP(A134,'Contribution Allocation_Report'!$A$9:$D$311,4,FALSE)*'OPEB Amounts_Report'!$C$326,0)</f>
        <v>1662023</v>
      </c>
      <c r="D134" s="120">
        <f>ROUND(VLOOKUP(A134,'Contribution Allocation_Report'!$A$9:$D$311,4,FALSE)*'OPEB Amounts_Report'!$D$326,0)</f>
        <v>27644</v>
      </c>
      <c r="E134" s="120">
        <f>ROUND(VLOOKUP(A134,'Contribution Allocation_Report'!$A$9:$D$311,4,FALSE)*'OPEB Amounts_Report'!$E$326,0)</f>
        <v>22918</v>
      </c>
      <c r="F134" s="120">
        <f>ROUND(VLOOKUP(A134,'Contribution Allocation_Report'!$A$9:$D$311,4,FALSE)*'OPEB Amounts_Report'!$F$326,0)</f>
        <v>354636</v>
      </c>
      <c r="G134" s="120">
        <f>INDEX('Change in Proportion Layers'!$AC$8:$AC$324,MATCH('OPEB Amounts_Report'!A134,'Change in Proportion Layers'!$A$8:$A$324,0))</f>
        <v>146377</v>
      </c>
      <c r="H134" s="120">
        <f t="shared" si="4"/>
        <v>551575</v>
      </c>
      <c r="I134" s="120"/>
      <c r="J134" s="120">
        <f>ROUND(VLOOKUP(A134,'Contribution Allocation_Report'!$A$9:$D$311,4,FALSE)*'OPEB Amounts_Report'!$J$326,0)</f>
        <v>246347</v>
      </c>
      <c r="K134" s="120">
        <f>ROUND(VLOOKUP(A134,'Contribution Allocation_Report'!$A$9:$D$311,4,FALSE)*'OPEB Amounts_Report'!$K$326,0)</f>
        <v>1232039</v>
      </c>
      <c r="L134" s="130">
        <f>INDEX('Change in Proportion Layers'!$AD$8:$AD$324,MATCH('OPEB Amounts_Report'!A134,'Change in Proportion Layers'!$A$8:$A$324,0))</f>
        <v>21212</v>
      </c>
      <c r="M134" s="120">
        <f t="shared" si="3"/>
        <v>1499598</v>
      </c>
      <c r="N134" s="121"/>
      <c r="O134" s="121">
        <f>ROUND(VLOOKUP(A134,'Contribution Allocation_Report'!$A$9:$D$311,4,FALSE)*'OPEB Amounts_Report'!$O$326,0)</f>
        <v>-349646</v>
      </c>
      <c r="P134" s="121">
        <f>INDEX('Change in Proportion Layers'!$AA$8:$AA$324,MATCH('OPEB Amounts_Report'!A134,'Change in Proportion Layers'!$A$8:$A$324,0))</f>
        <v>52535</v>
      </c>
      <c r="Q134" s="121">
        <f t="shared" si="5"/>
        <v>-297111</v>
      </c>
    </row>
    <row r="135" spans="1:17" ht="12" customHeight="1">
      <c r="A135" s="166">
        <v>3321</v>
      </c>
      <c r="B135" s="167" t="s">
        <v>122</v>
      </c>
      <c r="C135" s="122">
        <f>ROUND(VLOOKUP(A135,'Contribution Allocation_Report'!$A$9:$D$311,4,FALSE)*'OPEB Amounts_Report'!$C$326,0)</f>
        <v>841012</v>
      </c>
      <c r="D135" s="122">
        <f>ROUND(VLOOKUP(A135,'Contribution Allocation_Report'!$A$9:$D$311,4,FALSE)*'OPEB Amounts_Report'!$D$326,0)</f>
        <v>13989</v>
      </c>
      <c r="E135" s="122">
        <f>ROUND(VLOOKUP(A135,'Contribution Allocation_Report'!$A$9:$D$311,4,FALSE)*'OPEB Amounts_Report'!$E$326,0)</f>
        <v>11597</v>
      </c>
      <c r="F135" s="122">
        <f>ROUND(VLOOKUP(A135,'Contribution Allocation_Report'!$A$9:$D$311,4,FALSE)*'OPEB Amounts_Report'!$F$326,0)</f>
        <v>179452</v>
      </c>
      <c r="G135" s="122">
        <f>INDEX('Change in Proportion Layers'!$AC$8:$AC$324,MATCH('OPEB Amounts_Report'!A135,'Change in Proportion Layers'!$A$8:$A$324,0))</f>
        <v>328639</v>
      </c>
      <c r="H135" s="122">
        <f t="shared" si="4"/>
        <v>533677</v>
      </c>
      <c r="I135" s="122"/>
      <c r="J135" s="122">
        <f>ROUND(VLOOKUP(A135,'Contribution Allocation_Report'!$A$9:$D$311,4,FALSE)*'OPEB Amounts_Report'!$J$326,0)</f>
        <v>124656</v>
      </c>
      <c r="K135" s="122">
        <f>ROUND(VLOOKUP(A135,'Contribution Allocation_Report'!$A$9:$D$311,4,FALSE)*'OPEB Amounts_Report'!$K$326,0)</f>
        <v>623433</v>
      </c>
      <c r="L135" s="122">
        <f>INDEX('Change in Proportion Layers'!$AD$8:$AD$324,MATCH('OPEB Amounts_Report'!A135,'Change in Proportion Layers'!$A$8:$A$324,0))</f>
        <v>22057</v>
      </c>
      <c r="M135" s="122">
        <f t="shared" si="3"/>
        <v>770146</v>
      </c>
      <c r="N135" s="123"/>
      <c r="O135" s="123">
        <f>ROUND(VLOOKUP(A135,'Contribution Allocation_Report'!$A$9:$D$311,4,FALSE)*'OPEB Amounts_Report'!$O$326,0)</f>
        <v>-176927</v>
      </c>
      <c r="P135" s="123">
        <f>INDEX('Change in Proportion Layers'!$AA$8:$AA$324,MATCH('OPEB Amounts_Report'!A135,'Change in Proportion Layers'!$A$8:$A$324,0))</f>
        <v>55688</v>
      </c>
      <c r="Q135" s="123">
        <f t="shared" si="5"/>
        <v>-121239</v>
      </c>
    </row>
    <row r="136" spans="1:17" ht="12" customHeight="1">
      <c r="A136" s="164">
        <v>29122</v>
      </c>
      <c r="B136" s="168" t="s">
        <v>123</v>
      </c>
      <c r="C136" s="120">
        <f>ROUND(VLOOKUP(A136,'Contribution Allocation_Report'!$A$9:$D$311,4,FALSE)*'OPEB Amounts_Report'!$C$326,0)</f>
        <v>904500</v>
      </c>
      <c r="D136" s="120">
        <f>ROUND(VLOOKUP(A136,'Contribution Allocation_Report'!$A$9:$D$311,4,FALSE)*'OPEB Amounts_Report'!$D$326,0)</f>
        <v>15044</v>
      </c>
      <c r="E136" s="120">
        <f>ROUND(VLOOKUP(A136,'Contribution Allocation_Report'!$A$9:$D$311,4,FALSE)*'OPEB Amounts_Report'!$E$326,0)</f>
        <v>12472</v>
      </c>
      <c r="F136" s="120">
        <f>ROUND(VLOOKUP(A136,'Contribution Allocation_Report'!$A$9:$D$311,4,FALSE)*'OPEB Amounts_Report'!$F$326,0)</f>
        <v>192999</v>
      </c>
      <c r="G136" s="120">
        <f>INDEX('Change in Proportion Layers'!$AC$8:$AC$324,MATCH('OPEB Amounts_Report'!A136,'Change in Proportion Layers'!$A$8:$A$324,0))</f>
        <v>146369</v>
      </c>
      <c r="H136" s="120">
        <f t="shared" si="4"/>
        <v>366884</v>
      </c>
      <c r="I136" s="120"/>
      <c r="J136" s="120">
        <f>ROUND(VLOOKUP(A136,'Contribution Allocation_Report'!$A$9:$D$311,4,FALSE)*'OPEB Amounts_Report'!$J$326,0)</f>
        <v>134066</v>
      </c>
      <c r="K136" s="120">
        <f>ROUND(VLOOKUP(A136,'Contribution Allocation_Report'!$A$9:$D$311,4,FALSE)*'OPEB Amounts_Report'!$K$326,0)</f>
        <v>670495</v>
      </c>
      <c r="L136" s="120">
        <f>INDEX('Change in Proportion Layers'!$AD$8:$AD$324,MATCH('OPEB Amounts_Report'!A136,'Change in Proportion Layers'!$A$8:$A$324,0))</f>
        <v>329879</v>
      </c>
      <c r="M136" s="120">
        <f t="shared" si="3"/>
        <v>1134440</v>
      </c>
      <c r="N136" s="121"/>
      <c r="O136" s="121">
        <f>ROUND(VLOOKUP(A136,'Contribution Allocation_Report'!$A$9:$D$311,4,FALSE)*'OPEB Amounts_Report'!$O$326,0)</f>
        <v>-190283</v>
      </c>
      <c r="P136" s="121">
        <f>INDEX('Change in Proportion Layers'!$AA$8:$AA$324,MATCH('OPEB Amounts_Report'!A136,'Change in Proportion Layers'!$A$8:$A$324,0))</f>
        <v>-98606</v>
      </c>
      <c r="Q136" s="121">
        <f t="shared" si="5"/>
        <v>-288889</v>
      </c>
    </row>
    <row r="137" spans="1:17" ht="12" customHeight="1">
      <c r="A137" s="166">
        <v>29088</v>
      </c>
      <c r="B137" s="167" t="s">
        <v>124</v>
      </c>
      <c r="C137" s="122">
        <f>ROUND(VLOOKUP(A137,'Contribution Allocation_Report'!$A$9:$D$311,4,FALSE)*'OPEB Amounts_Report'!$C$326,0)</f>
        <v>1267446</v>
      </c>
      <c r="D137" s="122">
        <f>ROUND(VLOOKUP(A137,'Contribution Allocation_Report'!$A$9:$D$311,4,FALSE)*'OPEB Amounts_Report'!$D$326,0)</f>
        <v>21081</v>
      </c>
      <c r="E137" s="122">
        <f>ROUND(VLOOKUP(A137,'Contribution Allocation_Report'!$A$9:$D$311,4,FALSE)*'OPEB Amounts_Report'!$E$326,0)</f>
        <v>17477</v>
      </c>
      <c r="F137" s="122">
        <f>ROUND(VLOOKUP(A137,'Contribution Allocation_Report'!$A$9:$D$311,4,FALSE)*'OPEB Amounts_Report'!$F$326,0)</f>
        <v>270443</v>
      </c>
      <c r="G137" s="122">
        <f>INDEX('Change in Proportion Layers'!$AC$8:$AC$324,MATCH('OPEB Amounts_Report'!A137,'Change in Proportion Layers'!$A$8:$A$324,0))</f>
        <v>39665</v>
      </c>
      <c r="H137" s="122">
        <f t="shared" si="4"/>
        <v>348666</v>
      </c>
      <c r="I137" s="122"/>
      <c r="J137" s="122">
        <f>ROUND(VLOOKUP(A137,'Contribution Allocation_Report'!$A$9:$D$311,4,FALSE)*'OPEB Amounts_Report'!$J$326,0)</f>
        <v>187862</v>
      </c>
      <c r="K137" s="122">
        <f>ROUND(VLOOKUP(A137,'Contribution Allocation_Report'!$A$9:$D$311,4,FALSE)*'OPEB Amounts_Report'!$K$326,0)</f>
        <v>939544</v>
      </c>
      <c r="L137" s="122">
        <f>INDEX('Change in Proportion Layers'!$AD$8:$AD$324,MATCH('OPEB Amounts_Report'!A137,'Change in Proportion Layers'!$A$8:$A$324,0))</f>
        <v>156654</v>
      </c>
      <c r="M137" s="122">
        <f t="shared" si="3"/>
        <v>1284060</v>
      </c>
      <c r="N137" s="123"/>
      <c r="O137" s="123">
        <f>ROUND(VLOOKUP(A137,'Contribution Allocation_Report'!$A$9:$D$311,4,FALSE)*'OPEB Amounts_Report'!$O$326,0)</f>
        <v>-266637</v>
      </c>
      <c r="P137" s="123">
        <f>INDEX('Change in Proportion Layers'!$AA$8:$AA$324,MATCH('OPEB Amounts_Report'!A137,'Change in Proportion Layers'!$A$8:$A$324,0))</f>
        <v>-36662</v>
      </c>
      <c r="Q137" s="123">
        <f t="shared" si="5"/>
        <v>-303299</v>
      </c>
    </row>
    <row r="138" spans="1:17" ht="12" customHeight="1">
      <c r="A138" s="164">
        <v>7337</v>
      </c>
      <c r="B138" s="168" t="s">
        <v>125</v>
      </c>
      <c r="C138" s="120">
        <f>ROUND(VLOOKUP(A138,'Contribution Allocation_Report'!$A$9:$D$311,4,FALSE)*'OPEB Amounts_Report'!$C$326,0)</f>
        <v>346085</v>
      </c>
      <c r="D138" s="120">
        <f>ROUND(VLOOKUP(A138,'Contribution Allocation_Report'!$A$9:$D$311,4,FALSE)*'OPEB Amounts_Report'!$D$326,0)</f>
        <v>5756</v>
      </c>
      <c r="E138" s="120">
        <f>ROUND(VLOOKUP(A138,'Contribution Allocation_Report'!$A$9:$D$311,4,FALSE)*'OPEB Amounts_Report'!$E$326,0)</f>
        <v>4772</v>
      </c>
      <c r="F138" s="120">
        <f>ROUND(VLOOKUP(A138,'Contribution Allocation_Report'!$A$9:$D$311,4,FALSE)*'OPEB Amounts_Report'!$F$326,0)</f>
        <v>73846</v>
      </c>
      <c r="G138" s="120">
        <f>INDEX('Change in Proportion Layers'!$AC$8:$AC$324,MATCH('OPEB Amounts_Report'!A138,'Change in Proportion Layers'!$A$8:$A$324,0))</f>
        <v>39077</v>
      </c>
      <c r="H138" s="120">
        <f t="shared" si="4"/>
        <v>123451</v>
      </c>
      <c r="I138" s="120"/>
      <c r="J138" s="120">
        <f>ROUND(VLOOKUP(A138,'Contribution Allocation_Report'!$A$9:$D$311,4,FALSE)*'OPEB Amounts_Report'!$J$326,0)</f>
        <v>51297</v>
      </c>
      <c r="K138" s="120">
        <f>ROUND(VLOOKUP(A138,'Contribution Allocation_Report'!$A$9:$D$311,4,FALSE)*'OPEB Amounts_Report'!$K$326,0)</f>
        <v>256549</v>
      </c>
      <c r="L138" s="120">
        <f>INDEX('Change in Proportion Layers'!$AD$8:$AD$324,MATCH('OPEB Amounts_Report'!A138,'Change in Proportion Layers'!$A$8:$A$324,0))</f>
        <v>183767</v>
      </c>
      <c r="M138" s="120">
        <f t="shared" ref="M138:M201" si="6">SUM(J138:L138)</f>
        <v>491613</v>
      </c>
      <c r="N138" s="121"/>
      <c r="O138" s="121">
        <f>ROUND(VLOOKUP(A138,'Contribution Allocation_Report'!$A$9:$D$311,4,FALSE)*'OPEB Amounts_Report'!$O$326,0)</f>
        <v>-72807</v>
      </c>
      <c r="P138" s="121">
        <f>INDEX('Change in Proportion Layers'!$AA$8:$AA$324,MATCH('OPEB Amounts_Report'!A138,'Change in Proportion Layers'!$A$8:$A$324,0))</f>
        <v>-62949</v>
      </c>
      <c r="Q138" s="121">
        <f t="shared" si="5"/>
        <v>-135756</v>
      </c>
    </row>
    <row r="139" spans="1:17" ht="12" customHeight="1">
      <c r="A139" s="166">
        <v>2329</v>
      </c>
      <c r="B139" s="167" t="s">
        <v>126</v>
      </c>
      <c r="C139" s="122">
        <f>ROUND(VLOOKUP(A139,'Contribution Allocation_Report'!$A$9:$D$311,4,FALSE)*'OPEB Amounts_Report'!$C$326,0)</f>
        <v>1079419</v>
      </c>
      <c r="D139" s="122">
        <f>ROUND(VLOOKUP(A139,'Contribution Allocation_Report'!$A$9:$D$311,4,FALSE)*'OPEB Amounts_Report'!$D$326,0)</f>
        <v>17954</v>
      </c>
      <c r="E139" s="122">
        <f>ROUND(VLOOKUP(A139,'Contribution Allocation_Report'!$A$9:$D$311,4,FALSE)*'OPEB Amounts_Report'!$E$326,0)</f>
        <v>14884</v>
      </c>
      <c r="F139" s="122">
        <f>ROUND(VLOOKUP(A139,'Contribution Allocation_Report'!$A$9:$D$311,4,FALSE)*'OPEB Amounts_Report'!$F$326,0)</f>
        <v>230322</v>
      </c>
      <c r="G139" s="122">
        <f>INDEX('Change in Proportion Layers'!$AC$8:$AC$324,MATCH('OPEB Amounts_Report'!A139,'Change in Proportion Layers'!$A$8:$A$324,0))</f>
        <v>154131</v>
      </c>
      <c r="H139" s="122">
        <f t="shared" ref="H139:H202" si="7">SUM(D139:G139)</f>
        <v>417291</v>
      </c>
      <c r="I139" s="122"/>
      <c r="J139" s="122">
        <f>ROUND(VLOOKUP(A139,'Contribution Allocation_Report'!$A$9:$D$311,4,FALSE)*'OPEB Amounts_Report'!$J$326,0)</f>
        <v>159993</v>
      </c>
      <c r="K139" s="122">
        <f>ROUND(VLOOKUP(A139,'Contribution Allocation_Report'!$A$9:$D$311,4,FALSE)*'OPEB Amounts_Report'!$K$326,0)</f>
        <v>800161</v>
      </c>
      <c r="L139" s="131">
        <f>INDEX('Change in Proportion Layers'!$AD$8:$AD$324,MATCH('OPEB Amounts_Report'!A139,'Change in Proportion Layers'!$A$8:$A$324,0))</f>
        <v>390863</v>
      </c>
      <c r="M139" s="122">
        <f t="shared" si="6"/>
        <v>1351017</v>
      </c>
      <c r="N139" s="123"/>
      <c r="O139" s="123">
        <f>ROUND(VLOOKUP(A139,'Contribution Allocation_Report'!$A$9:$D$311,4,FALSE)*'OPEB Amounts_Report'!$O$326,0)</f>
        <v>-227081</v>
      </c>
      <c r="P139" s="123">
        <f>INDEX('Change in Proportion Layers'!$AA$8:$AA$324,MATCH('OPEB Amounts_Report'!A139,'Change in Proportion Layers'!$A$8:$A$324,0))</f>
        <v>-80103</v>
      </c>
      <c r="Q139" s="123">
        <f t="shared" ref="Q139:Q202" si="8">+O139+P139</f>
        <v>-307184</v>
      </c>
    </row>
    <row r="140" spans="1:17" ht="12" customHeight="1">
      <c r="A140" s="164">
        <v>17425</v>
      </c>
      <c r="B140" s="168" t="s">
        <v>128</v>
      </c>
      <c r="C140" s="120">
        <f>ROUND(VLOOKUP(A140,'Contribution Allocation_Report'!$A$9:$D$311,4,FALSE)*'OPEB Amounts_Report'!$C$326,0)</f>
        <v>206436</v>
      </c>
      <c r="D140" s="120">
        <f>ROUND(VLOOKUP(A140,'Contribution Allocation_Report'!$A$9:$D$311,4,FALSE)*'OPEB Amounts_Report'!$D$326,0)</f>
        <v>3434</v>
      </c>
      <c r="E140" s="120">
        <f>ROUND(VLOOKUP(A140,'Contribution Allocation_Report'!$A$9:$D$311,4,FALSE)*'OPEB Amounts_Report'!$E$326,0)</f>
        <v>2847</v>
      </c>
      <c r="F140" s="120">
        <f>ROUND(VLOOKUP(A140,'Contribution Allocation_Report'!$A$9:$D$311,4,FALSE)*'OPEB Amounts_Report'!$F$326,0)</f>
        <v>44049</v>
      </c>
      <c r="G140" s="120">
        <f>INDEX('Change in Proportion Layers'!$AC$8:$AC$324,MATCH('OPEB Amounts_Report'!A140,'Change in Proportion Layers'!$A$8:$A$324,0))</f>
        <v>117431</v>
      </c>
      <c r="H140" s="120">
        <f t="shared" si="7"/>
        <v>167761</v>
      </c>
      <c r="I140" s="120"/>
      <c r="J140" s="120">
        <f>ROUND(VLOOKUP(A140,'Contribution Allocation_Report'!$A$9:$D$311,4,FALSE)*'OPEB Amounts_Report'!$J$326,0)</f>
        <v>30598</v>
      </c>
      <c r="K140" s="120">
        <f>ROUND(VLOOKUP(A140,'Contribution Allocation_Report'!$A$9:$D$311,4,FALSE)*'OPEB Amounts_Report'!$K$326,0)</f>
        <v>153029</v>
      </c>
      <c r="L140" s="130">
        <f>INDEX('Change in Proportion Layers'!$AD$8:$AD$324,MATCH('OPEB Amounts_Report'!A140,'Change in Proportion Layers'!$A$8:$A$324,0))</f>
        <v>179832</v>
      </c>
      <c r="M140" s="120">
        <f t="shared" si="6"/>
        <v>363459</v>
      </c>
      <c r="N140" s="121"/>
      <c r="O140" s="121">
        <f>ROUND(VLOOKUP(A140,'Contribution Allocation_Report'!$A$9:$D$311,4,FALSE)*'OPEB Amounts_Report'!$O$326,0)</f>
        <v>-43429</v>
      </c>
      <c r="P140" s="121">
        <f>INDEX('Change in Proportion Layers'!$AA$8:$AA$324,MATCH('OPEB Amounts_Report'!A140,'Change in Proportion Layers'!$A$8:$A$324,0))</f>
        <v>-39412</v>
      </c>
      <c r="Q140" s="121">
        <f t="shared" si="8"/>
        <v>-82841</v>
      </c>
    </row>
    <row r="141" spans="1:17" ht="12" customHeight="1">
      <c r="A141" s="166">
        <v>4010</v>
      </c>
      <c r="B141" s="167" t="s">
        <v>129</v>
      </c>
      <c r="C141" s="122">
        <f>ROUND(VLOOKUP(A141,'Contribution Allocation_Report'!$A$9:$D$311,4,FALSE)*'OPEB Amounts_Report'!$C$326,0)</f>
        <v>639105</v>
      </c>
      <c r="D141" s="122">
        <f>ROUND(VLOOKUP(A141,'Contribution Allocation_Report'!$A$9:$D$311,4,FALSE)*'OPEB Amounts_Report'!$D$326,0)</f>
        <v>10630</v>
      </c>
      <c r="E141" s="122">
        <f>ROUND(VLOOKUP(A141,'Contribution Allocation_Report'!$A$9:$D$311,4,FALSE)*'OPEB Amounts_Report'!$E$326,0)</f>
        <v>8813</v>
      </c>
      <c r="F141" s="122">
        <f>ROUND(VLOOKUP(A141,'Contribution Allocation_Report'!$A$9:$D$311,4,FALSE)*'OPEB Amounts_Report'!$F$326,0)</f>
        <v>136370</v>
      </c>
      <c r="G141" s="122">
        <f>INDEX('Change in Proportion Layers'!$AC$8:$AC$324,MATCH('OPEB Amounts_Report'!A141,'Change in Proportion Layers'!$A$8:$A$324,0))</f>
        <v>163152</v>
      </c>
      <c r="H141" s="122">
        <f t="shared" si="7"/>
        <v>318965</v>
      </c>
      <c r="I141" s="122"/>
      <c r="J141" s="122">
        <f>ROUND(VLOOKUP(A141,'Contribution Allocation_Report'!$A$9:$D$311,4,FALSE)*'OPEB Amounts_Report'!$J$326,0)</f>
        <v>94729</v>
      </c>
      <c r="K141" s="122">
        <f>ROUND(VLOOKUP(A141,'Contribution Allocation_Report'!$A$9:$D$311,4,FALSE)*'OPEB Amounts_Report'!$K$326,0)</f>
        <v>473761</v>
      </c>
      <c r="L141" s="122">
        <f>INDEX('Change in Proportion Layers'!$AD$8:$AD$324,MATCH('OPEB Amounts_Report'!A141,'Change in Proportion Layers'!$A$8:$A$324,0))</f>
        <v>4132</v>
      </c>
      <c r="M141" s="122">
        <f t="shared" si="6"/>
        <v>572622</v>
      </c>
      <c r="N141" s="123"/>
      <c r="O141" s="123">
        <f>ROUND(VLOOKUP(A141,'Contribution Allocation_Report'!$A$9:$D$311,4,FALSE)*'OPEB Amounts_Report'!$O$326,0)</f>
        <v>-134451</v>
      </c>
      <c r="P141" s="123">
        <f>INDEX('Change in Proportion Layers'!$AA$8:$AA$324,MATCH('OPEB Amounts_Report'!A141,'Change in Proportion Layers'!$A$8:$A$324,0))</f>
        <v>39837</v>
      </c>
      <c r="Q141" s="123">
        <f t="shared" si="8"/>
        <v>-94614</v>
      </c>
    </row>
    <row r="142" spans="1:17" ht="12" customHeight="1">
      <c r="A142" s="164">
        <v>7023</v>
      </c>
      <c r="B142" s="168" t="s">
        <v>439</v>
      </c>
      <c r="C142" s="120">
        <f>ROUND(VLOOKUP(A142,'Contribution Allocation_Report'!$A$9:$D$311,4,FALSE)*'OPEB Amounts_Report'!$C$326,0)</f>
        <v>75183848</v>
      </c>
      <c r="D142" s="120">
        <f>ROUND(VLOOKUP(A142,'Contribution Allocation_Report'!$A$9:$D$311,4,FALSE)*'OPEB Amounts_Report'!$D$326,0)</f>
        <v>1250529</v>
      </c>
      <c r="E142" s="120">
        <f>ROUND(VLOOKUP(A142,'Contribution Allocation_Report'!$A$9:$D$311,4,FALSE)*'OPEB Amounts_Report'!$E$326,0)</f>
        <v>1036715</v>
      </c>
      <c r="F142" s="120">
        <f>ROUND(VLOOKUP(A142,'Contribution Allocation_Report'!$A$9:$D$311,4,FALSE)*'OPEB Amounts_Report'!$F$326,0)</f>
        <v>16042451</v>
      </c>
      <c r="G142" s="120">
        <f>INDEX('Change in Proportion Layers'!$AC$8:$AC$324,MATCH('OPEB Amounts_Report'!A142,'Change in Proportion Layers'!$A$8:$A$324,0))</f>
        <v>6031946</v>
      </c>
      <c r="H142" s="120">
        <f t="shared" si="7"/>
        <v>24361641</v>
      </c>
      <c r="I142" s="120"/>
      <c r="J142" s="120">
        <f>ROUND(VLOOKUP(A142,'Contribution Allocation_Report'!$A$9:$D$311,4,FALSE)*'OPEB Amounts_Report'!$J$326,0)</f>
        <v>11143843</v>
      </c>
      <c r="K142" s="120">
        <f>ROUND(VLOOKUP(A142,'Contribution Allocation_Report'!$A$9:$D$311,4,FALSE)*'OPEB Amounts_Report'!$K$326,0)</f>
        <v>55732939</v>
      </c>
      <c r="L142" s="120">
        <f>INDEX('Change in Proportion Layers'!$AD$8:$AD$324,MATCH('OPEB Amounts_Report'!A142,'Change in Proportion Layers'!$A$8:$A$324,0))</f>
        <v>0</v>
      </c>
      <c r="M142" s="120">
        <f t="shared" si="6"/>
        <v>66876782</v>
      </c>
      <c r="N142" s="121"/>
      <c r="O142" s="121">
        <f>ROUND(VLOOKUP(A142,'Contribution Allocation_Report'!$A$9:$D$311,4,FALSE)*'OPEB Amounts_Report'!$O$326,0)</f>
        <v>-15816692</v>
      </c>
      <c r="P142" s="121">
        <f>INDEX('Change in Proportion Layers'!$AA$8:$AA$324,MATCH('OPEB Amounts_Report'!A142,'Change in Proportion Layers'!$A$8:$A$324,0))</f>
        <v>1813259</v>
      </c>
      <c r="Q142" s="121">
        <f t="shared" si="8"/>
        <v>-14003433</v>
      </c>
    </row>
    <row r="143" spans="1:17" ht="12" customHeight="1">
      <c r="A143" s="166">
        <v>7338</v>
      </c>
      <c r="B143" s="167" t="s">
        <v>131</v>
      </c>
      <c r="C143" s="122">
        <f>ROUND(VLOOKUP(A143,'Contribution Allocation_Report'!$A$9:$D$311,4,FALSE)*'OPEB Amounts_Report'!$C$326,0)</f>
        <v>662065</v>
      </c>
      <c r="D143" s="122">
        <f>ROUND(VLOOKUP(A143,'Contribution Allocation_Report'!$A$9:$D$311,4,FALSE)*'OPEB Amounts_Report'!$D$326,0)</f>
        <v>11012</v>
      </c>
      <c r="E143" s="122">
        <f>ROUND(VLOOKUP(A143,'Contribution Allocation_Report'!$A$9:$D$311,4,FALSE)*'OPEB Amounts_Report'!$E$326,0)</f>
        <v>9129</v>
      </c>
      <c r="F143" s="122">
        <f>ROUND(VLOOKUP(A143,'Contribution Allocation_Report'!$A$9:$D$311,4,FALSE)*'OPEB Amounts_Report'!$F$326,0)</f>
        <v>141269</v>
      </c>
      <c r="G143" s="122">
        <f>INDEX('Change in Proportion Layers'!$AC$8:$AC$324,MATCH('OPEB Amounts_Report'!A143,'Change in Proportion Layers'!$A$8:$A$324,0))</f>
        <v>115694</v>
      </c>
      <c r="H143" s="122">
        <f t="shared" si="7"/>
        <v>277104</v>
      </c>
      <c r="I143" s="122"/>
      <c r="J143" s="122">
        <f>ROUND(VLOOKUP(A143,'Contribution Allocation_Report'!$A$9:$D$311,4,FALSE)*'OPEB Amounts_Report'!$J$326,0)</f>
        <v>98132</v>
      </c>
      <c r="K143" s="122">
        <f>ROUND(VLOOKUP(A143,'Contribution Allocation_Report'!$A$9:$D$311,4,FALSE)*'OPEB Amounts_Report'!$K$326,0)</f>
        <v>490781</v>
      </c>
      <c r="L143" s="131">
        <f>INDEX('Change in Proportion Layers'!$AD$8:$AD$324,MATCH('OPEB Amounts_Report'!A143,'Change in Proportion Layers'!$A$8:$A$324,0))</f>
        <v>13093</v>
      </c>
      <c r="M143" s="122">
        <f t="shared" si="6"/>
        <v>602006</v>
      </c>
      <c r="N143" s="123"/>
      <c r="O143" s="123">
        <f>ROUND(VLOOKUP(A143,'Contribution Allocation_Report'!$A$9:$D$311,4,FALSE)*'OPEB Amounts_Report'!$O$326,0)</f>
        <v>-139281</v>
      </c>
      <c r="P143" s="123">
        <f>INDEX('Change in Proportion Layers'!$AA$8:$AA$324,MATCH('OPEB Amounts_Report'!A143,'Change in Proportion Layers'!$A$8:$A$324,0))</f>
        <v>72752</v>
      </c>
      <c r="Q143" s="123">
        <f t="shared" si="8"/>
        <v>-66529</v>
      </c>
    </row>
    <row r="144" spans="1:17" ht="12" customHeight="1">
      <c r="A144" s="164">
        <v>12037</v>
      </c>
      <c r="B144" s="168" t="s">
        <v>132</v>
      </c>
      <c r="C144" s="120">
        <f>ROUND(VLOOKUP(A144,'Contribution Allocation_Report'!$A$9:$D$311,4,FALSE)*'OPEB Amounts_Report'!$C$326,0)</f>
        <v>4544889</v>
      </c>
      <c r="D144" s="120">
        <f>ROUND(VLOOKUP(A144,'Contribution Allocation_Report'!$A$9:$D$311,4,FALSE)*'OPEB Amounts_Report'!$D$326,0)</f>
        <v>75595</v>
      </c>
      <c r="E144" s="120">
        <f>ROUND(VLOOKUP(A144,'Contribution Allocation_Report'!$A$9:$D$311,4,FALSE)*'OPEB Amounts_Report'!$E$326,0)</f>
        <v>62670</v>
      </c>
      <c r="F144" s="120">
        <f>ROUND(VLOOKUP(A144,'Contribution Allocation_Report'!$A$9:$D$311,4,FALSE)*'OPEB Amounts_Report'!$F$326,0)</f>
        <v>969772</v>
      </c>
      <c r="G144" s="120">
        <f>INDEX('Change in Proportion Layers'!$AC$8:$AC$324,MATCH('OPEB Amounts_Report'!A144,'Change in Proportion Layers'!$A$8:$A$324,0))</f>
        <v>327965</v>
      </c>
      <c r="H144" s="120">
        <f t="shared" si="7"/>
        <v>1436002</v>
      </c>
      <c r="I144" s="120"/>
      <c r="J144" s="120">
        <f>ROUND(VLOOKUP(A144,'Contribution Allocation_Report'!$A$9:$D$311,4,FALSE)*'OPEB Amounts_Report'!$J$326,0)</f>
        <v>673649</v>
      </c>
      <c r="K144" s="120">
        <f>ROUND(VLOOKUP(A144,'Contribution Allocation_Report'!$A$9:$D$311,4,FALSE)*'OPEB Amounts_Report'!$K$326,0)</f>
        <v>3369075</v>
      </c>
      <c r="L144" s="130">
        <f>INDEX('Change in Proportion Layers'!$AD$8:$AD$324,MATCH('OPEB Amounts_Report'!A144,'Change in Proportion Layers'!$A$8:$A$324,0))</f>
        <v>603417</v>
      </c>
      <c r="M144" s="120">
        <f t="shared" si="6"/>
        <v>4646141</v>
      </c>
      <c r="N144" s="121"/>
      <c r="O144" s="121">
        <f>ROUND(VLOOKUP(A144,'Contribution Allocation_Report'!$A$9:$D$311,4,FALSE)*'OPEB Amounts_Report'!$O$326,0)</f>
        <v>-956124</v>
      </c>
      <c r="P144" s="121">
        <f>INDEX('Change in Proportion Layers'!$AA$8:$AA$324,MATCH('OPEB Amounts_Report'!A144,'Change in Proportion Layers'!$A$8:$A$324,0))</f>
        <v>125665</v>
      </c>
      <c r="Q144" s="121">
        <f t="shared" si="8"/>
        <v>-830459</v>
      </c>
    </row>
    <row r="145" spans="1:17" ht="12" customHeight="1">
      <c r="A145" s="166">
        <v>3150</v>
      </c>
      <c r="B145" s="167" t="s">
        <v>133</v>
      </c>
      <c r="C145" s="122">
        <f>ROUND(VLOOKUP(A145,'Contribution Allocation_Report'!$A$9:$D$311,4,FALSE)*'OPEB Amounts_Report'!$C$326,0)</f>
        <v>9739555</v>
      </c>
      <c r="D145" s="122">
        <f>ROUND(VLOOKUP(A145,'Contribution Allocation_Report'!$A$9:$D$311,4,FALSE)*'OPEB Amounts_Report'!$D$326,0)</f>
        <v>161997</v>
      </c>
      <c r="E145" s="122">
        <f>ROUND(VLOOKUP(A145,'Contribution Allocation_Report'!$A$9:$D$311,4,FALSE)*'OPEB Amounts_Report'!$E$326,0)</f>
        <v>134299</v>
      </c>
      <c r="F145" s="122">
        <f>ROUND(VLOOKUP(A145,'Contribution Allocation_Report'!$A$9:$D$311,4,FALSE)*'OPEB Amounts_Report'!$F$326,0)</f>
        <v>2078190</v>
      </c>
      <c r="G145" s="122">
        <f>INDEX('Change in Proportion Layers'!$AC$8:$AC$324,MATCH('OPEB Amounts_Report'!A145,'Change in Proportion Layers'!$A$8:$A$324,0))</f>
        <v>2552619</v>
      </c>
      <c r="H145" s="122">
        <f t="shared" si="7"/>
        <v>4927105</v>
      </c>
      <c r="I145" s="122"/>
      <c r="J145" s="122">
        <f>ROUND(VLOOKUP(A145,'Contribution Allocation_Report'!$A$9:$D$311,4,FALSE)*'OPEB Amounts_Report'!$J$326,0)</f>
        <v>1443609</v>
      </c>
      <c r="K145" s="122">
        <f>ROUND(VLOOKUP(A145,'Contribution Allocation_Report'!$A$9:$D$311,4,FALSE)*'OPEB Amounts_Report'!$K$326,0)</f>
        <v>7219822</v>
      </c>
      <c r="L145" s="122">
        <f>INDEX('Change in Proportion Layers'!$AD$8:$AD$324,MATCH('OPEB Amounts_Report'!A145,'Change in Proportion Layers'!$A$8:$A$324,0))</f>
        <v>865363</v>
      </c>
      <c r="M145" s="122">
        <f t="shared" si="6"/>
        <v>9528794</v>
      </c>
      <c r="N145" s="123"/>
      <c r="O145" s="123">
        <f>ROUND(VLOOKUP(A145,'Contribution Allocation_Report'!$A$9:$D$311,4,FALSE)*'OPEB Amounts_Report'!$O$326,0)</f>
        <v>-2048945</v>
      </c>
      <c r="P145" s="123">
        <f>INDEX('Change in Proportion Layers'!$AA$8:$AA$324,MATCH('OPEB Amounts_Report'!A145,'Change in Proportion Layers'!$A$8:$A$324,0))</f>
        <v>598476</v>
      </c>
      <c r="Q145" s="123">
        <f t="shared" si="8"/>
        <v>-1450469</v>
      </c>
    </row>
    <row r="146" spans="1:17" ht="12" customHeight="1">
      <c r="A146" s="164">
        <v>3160</v>
      </c>
      <c r="B146" s="168" t="s">
        <v>134</v>
      </c>
      <c r="C146" s="120">
        <f>ROUND(VLOOKUP(A146,'Contribution Allocation_Report'!$A$9:$D$311,4,FALSE)*'OPEB Amounts_Report'!$C$326,0)</f>
        <v>2279032</v>
      </c>
      <c r="D146" s="120">
        <f>ROUND(VLOOKUP(A146,'Contribution Allocation_Report'!$A$9:$D$311,4,FALSE)*'OPEB Amounts_Report'!$D$326,0)</f>
        <v>37907</v>
      </c>
      <c r="E146" s="120">
        <f>ROUND(VLOOKUP(A146,'Contribution Allocation_Report'!$A$9:$D$311,4,FALSE)*'OPEB Amounts_Report'!$E$326,0)</f>
        <v>31426</v>
      </c>
      <c r="F146" s="120">
        <f>ROUND(VLOOKUP(A146,'Contribution Allocation_Report'!$A$9:$D$311,4,FALSE)*'OPEB Amounts_Report'!$F$326,0)</f>
        <v>486291</v>
      </c>
      <c r="G146" s="120">
        <f>INDEX('Change in Proportion Layers'!$AC$8:$AC$324,MATCH('OPEB Amounts_Report'!A146,'Change in Proportion Layers'!$A$8:$A$324,0))</f>
        <v>199449</v>
      </c>
      <c r="H146" s="120">
        <f t="shared" si="7"/>
        <v>755073</v>
      </c>
      <c r="I146" s="120"/>
      <c r="J146" s="120">
        <f>ROUND(VLOOKUP(A146,'Contribution Allocation_Report'!$A$9:$D$311,4,FALSE)*'OPEB Amounts_Report'!$J$326,0)</f>
        <v>337801</v>
      </c>
      <c r="K146" s="120">
        <f>ROUND(VLOOKUP(A146,'Contribution Allocation_Report'!$A$9:$D$311,4,FALSE)*'OPEB Amounts_Report'!$K$326,0)</f>
        <v>1689421</v>
      </c>
      <c r="L146" s="120">
        <f>INDEX('Change in Proportion Layers'!$AD$8:$AD$324,MATCH('OPEB Amounts_Report'!A146,'Change in Proportion Layers'!$A$8:$A$324,0))</f>
        <v>250192</v>
      </c>
      <c r="M146" s="120">
        <f t="shared" si="6"/>
        <v>2277414</v>
      </c>
      <c r="N146" s="121"/>
      <c r="O146" s="121">
        <f>ROUND(VLOOKUP(A146,'Contribution Allocation_Report'!$A$9:$D$311,4,FALSE)*'OPEB Amounts_Report'!$O$326,0)</f>
        <v>-479448</v>
      </c>
      <c r="P146" s="121">
        <f>INDEX('Change in Proportion Layers'!$AA$8:$AA$324,MATCH('OPEB Amounts_Report'!A146,'Change in Proportion Layers'!$A$8:$A$324,0))</f>
        <v>-17791</v>
      </c>
      <c r="Q146" s="121">
        <f t="shared" si="8"/>
        <v>-497239</v>
      </c>
    </row>
    <row r="147" spans="1:17" ht="12" customHeight="1">
      <c r="A147" s="166">
        <v>10120</v>
      </c>
      <c r="B147" s="167" t="s">
        <v>136</v>
      </c>
      <c r="C147" s="122">
        <f>ROUND(VLOOKUP(A147,'Contribution Allocation_Report'!$A$9:$D$311,4,FALSE)*'OPEB Amounts_Report'!$C$326,0)</f>
        <v>1126090</v>
      </c>
      <c r="D147" s="122">
        <f>ROUND(VLOOKUP(A147,'Contribution Allocation_Report'!$A$9:$D$311,4,FALSE)*'OPEB Amounts_Report'!$D$326,0)</f>
        <v>18730</v>
      </c>
      <c r="E147" s="122">
        <f>ROUND(VLOOKUP(A147,'Contribution Allocation_Report'!$A$9:$D$311,4,FALSE)*'OPEB Amounts_Report'!$E$326,0)</f>
        <v>15528</v>
      </c>
      <c r="F147" s="122">
        <f>ROUND(VLOOKUP(A147,'Contribution Allocation_Report'!$A$9:$D$311,4,FALSE)*'OPEB Amounts_Report'!$F$326,0)</f>
        <v>240281</v>
      </c>
      <c r="G147" s="122">
        <f>INDEX('Change in Proportion Layers'!$AC$8:$AC$324,MATCH('OPEB Amounts_Report'!A147,'Change in Proportion Layers'!$A$8:$A$324,0))</f>
        <v>82845</v>
      </c>
      <c r="H147" s="122">
        <f t="shared" si="7"/>
        <v>357384</v>
      </c>
      <c r="I147" s="122"/>
      <c r="J147" s="122">
        <f>ROUND(VLOOKUP(A147,'Contribution Allocation_Report'!$A$9:$D$311,4,FALSE)*'OPEB Amounts_Report'!$J$326,0)</f>
        <v>166911</v>
      </c>
      <c r="K147" s="122">
        <f>ROUND(VLOOKUP(A147,'Contribution Allocation_Report'!$A$9:$D$311,4,FALSE)*'OPEB Amounts_Report'!$K$326,0)</f>
        <v>834758</v>
      </c>
      <c r="L147" s="122">
        <f>INDEX('Change in Proportion Layers'!$AD$8:$AD$324,MATCH('OPEB Amounts_Report'!A147,'Change in Proportion Layers'!$A$8:$A$324,0))</f>
        <v>61394</v>
      </c>
      <c r="M147" s="122">
        <f t="shared" si="6"/>
        <v>1063063</v>
      </c>
      <c r="N147" s="123"/>
      <c r="O147" s="123">
        <f>ROUND(VLOOKUP(A147,'Contribution Allocation_Report'!$A$9:$D$311,4,FALSE)*'OPEB Amounts_Report'!$O$326,0)</f>
        <v>-236900</v>
      </c>
      <c r="P147" s="123">
        <f>INDEX('Change in Proportion Layers'!$AA$8:$AA$324,MATCH('OPEB Amounts_Report'!A147,'Change in Proportion Layers'!$A$8:$A$324,0))</f>
        <v>550</v>
      </c>
      <c r="Q147" s="123">
        <f t="shared" si="8"/>
        <v>-236350</v>
      </c>
    </row>
    <row r="148" spans="1:17" ht="12" customHeight="1">
      <c r="A148" s="164">
        <v>23070</v>
      </c>
      <c r="B148" s="168" t="s">
        <v>137</v>
      </c>
      <c r="C148" s="120">
        <f>ROUND(VLOOKUP(A148,'Contribution Allocation_Report'!$A$9:$D$311,4,FALSE)*'OPEB Amounts_Report'!$C$326,0)</f>
        <v>1817396</v>
      </c>
      <c r="D148" s="120">
        <f>ROUND(VLOOKUP(A148,'Contribution Allocation_Report'!$A$9:$D$311,4,FALSE)*'OPEB Amounts_Report'!$D$326,0)</f>
        <v>30229</v>
      </c>
      <c r="E148" s="120">
        <f>ROUND(VLOOKUP(A148,'Contribution Allocation_Report'!$A$9:$D$311,4,FALSE)*'OPEB Amounts_Report'!$E$326,0)</f>
        <v>25060</v>
      </c>
      <c r="F148" s="120">
        <f>ROUND(VLOOKUP(A148,'Contribution Allocation_Report'!$A$9:$D$311,4,FALSE)*'OPEB Amounts_Report'!$F$326,0)</f>
        <v>387789</v>
      </c>
      <c r="G148" s="120">
        <f>INDEX('Change in Proportion Layers'!$AC$8:$AC$324,MATCH('OPEB Amounts_Report'!A148,'Change in Proportion Layers'!$A$8:$A$324,0))</f>
        <v>130896</v>
      </c>
      <c r="H148" s="120">
        <f t="shared" si="7"/>
        <v>573974</v>
      </c>
      <c r="I148" s="120"/>
      <c r="J148" s="120">
        <f>ROUND(VLOOKUP(A148,'Contribution Allocation_Report'!$A$9:$D$311,4,FALSE)*'OPEB Amounts_Report'!$J$326,0)</f>
        <v>269377</v>
      </c>
      <c r="K148" s="120">
        <f>ROUND(VLOOKUP(A148,'Contribution Allocation_Report'!$A$9:$D$311,4,FALSE)*'OPEB Amounts_Report'!$K$326,0)</f>
        <v>1347215</v>
      </c>
      <c r="L148" s="120">
        <f>INDEX('Change in Proportion Layers'!$AD$8:$AD$324,MATCH('OPEB Amounts_Report'!A148,'Change in Proportion Layers'!$A$8:$A$324,0))</f>
        <v>12571</v>
      </c>
      <c r="M148" s="120">
        <f t="shared" si="6"/>
        <v>1629163</v>
      </c>
      <c r="N148" s="121"/>
      <c r="O148" s="121">
        <f>ROUND(VLOOKUP(A148,'Contribution Allocation_Report'!$A$9:$D$311,4,FALSE)*'OPEB Amounts_Report'!$O$326,0)</f>
        <v>-382332</v>
      </c>
      <c r="P148" s="121">
        <f>INDEX('Change in Proportion Layers'!$AA$8:$AA$324,MATCH('OPEB Amounts_Report'!A148,'Change in Proportion Layers'!$A$8:$A$324,0))</f>
        <v>63400</v>
      </c>
      <c r="Q148" s="121">
        <f t="shared" si="8"/>
        <v>-318932</v>
      </c>
    </row>
    <row r="149" spans="1:17" ht="12" customHeight="1">
      <c r="A149" s="166">
        <v>3170</v>
      </c>
      <c r="B149" s="167" t="s">
        <v>138</v>
      </c>
      <c r="C149" s="122">
        <f>ROUND(VLOOKUP(A149,'Contribution Allocation_Report'!$A$9:$D$311,4,FALSE)*'OPEB Amounts_Report'!$C$326,0)</f>
        <v>21221049</v>
      </c>
      <c r="D149" s="122">
        <f>ROUND(VLOOKUP(A149,'Contribution Allocation_Report'!$A$9:$D$311,4,FALSE)*'OPEB Amounts_Report'!$D$326,0)</f>
        <v>352968</v>
      </c>
      <c r="E149" s="122">
        <f>ROUND(VLOOKUP(A149,'Contribution Allocation_Report'!$A$9:$D$311,4,FALSE)*'OPEB Amounts_Report'!$E$326,0)</f>
        <v>292618</v>
      </c>
      <c r="F149" s="122">
        <f>ROUND(VLOOKUP(A149,'Contribution Allocation_Report'!$A$9:$D$311,4,FALSE)*'OPEB Amounts_Report'!$F$326,0)</f>
        <v>4528069</v>
      </c>
      <c r="G149" s="122">
        <f>INDEX('Change in Proportion Layers'!$AC$8:$AC$324,MATCH('OPEB Amounts_Report'!A149,'Change in Proportion Layers'!$A$8:$A$324,0))</f>
        <v>1407245</v>
      </c>
      <c r="H149" s="122">
        <f t="shared" si="7"/>
        <v>6580900</v>
      </c>
      <c r="I149" s="122"/>
      <c r="J149" s="122">
        <f>ROUND(VLOOKUP(A149,'Contribution Allocation_Report'!$A$9:$D$311,4,FALSE)*'OPEB Amounts_Report'!$J$326,0)</f>
        <v>3145410</v>
      </c>
      <c r="K149" s="122">
        <f>ROUND(VLOOKUP(A149,'Contribution Allocation_Report'!$A$9:$D$311,4,FALSE)*'OPEB Amounts_Report'!$K$326,0)</f>
        <v>15730924</v>
      </c>
      <c r="L149" s="131">
        <f>INDEX('Change in Proportion Layers'!$AD$8:$AD$324,MATCH('OPEB Amounts_Report'!A149,'Change in Proportion Layers'!$A$8:$A$324,0))</f>
        <v>3461089</v>
      </c>
      <c r="M149" s="122">
        <f t="shared" si="6"/>
        <v>22337423</v>
      </c>
      <c r="N149" s="123"/>
      <c r="O149" s="123">
        <f>ROUND(VLOOKUP(A149,'Contribution Allocation_Report'!$A$9:$D$311,4,FALSE)*'OPEB Amounts_Report'!$O$326,0)</f>
        <v>-4464347</v>
      </c>
      <c r="P149" s="123">
        <f>INDEX('Change in Proportion Layers'!$AA$8:$AA$324,MATCH('OPEB Amounts_Report'!A149,'Change in Proportion Layers'!$A$8:$A$324,0))</f>
        <v>-708269</v>
      </c>
      <c r="Q149" s="123">
        <f t="shared" si="8"/>
        <v>-5172616</v>
      </c>
    </row>
    <row r="150" spans="1:17" ht="12" customHeight="1">
      <c r="A150" s="164">
        <v>32093</v>
      </c>
      <c r="B150" s="168" t="s">
        <v>139</v>
      </c>
      <c r="C150" s="120">
        <f>ROUND(VLOOKUP(A150,'Contribution Allocation_Report'!$A$9:$D$311,4,FALSE)*'OPEB Amounts_Report'!$C$326,0)</f>
        <v>13888297</v>
      </c>
      <c r="D150" s="120">
        <f>ROUND(VLOOKUP(A150,'Contribution Allocation_Report'!$A$9:$D$311,4,FALSE)*'OPEB Amounts_Report'!$D$326,0)</f>
        <v>231003</v>
      </c>
      <c r="E150" s="120">
        <f>ROUND(VLOOKUP(A150,'Contribution Allocation_Report'!$A$9:$D$311,4,FALSE)*'OPEB Amounts_Report'!$E$326,0)</f>
        <v>191507</v>
      </c>
      <c r="F150" s="120">
        <f>ROUND(VLOOKUP(A150,'Contribution Allocation_Report'!$A$9:$D$311,4,FALSE)*'OPEB Amounts_Report'!$F$326,0)</f>
        <v>2963433</v>
      </c>
      <c r="G150" s="120">
        <f>INDEX('Change in Proportion Layers'!$AC$8:$AC$324,MATCH('OPEB Amounts_Report'!A150,'Change in Proportion Layers'!$A$8:$A$324,0))</f>
        <v>917097</v>
      </c>
      <c r="H150" s="120">
        <f t="shared" si="7"/>
        <v>4303040</v>
      </c>
      <c r="I150" s="120"/>
      <c r="J150" s="120">
        <f>ROUND(VLOOKUP(A150,'Contribution Allocation_Report'!$A$9:$D$311,4,FALSE)*'OPEB Amounts_Report'!$J$326,0)</f>
        <v>2058541</v>
      </c>
      <c r="K150" s="120">
        <f>ROUND(VLOOKUP(A150,'Contribution Allocation_Report'!$A$9:$D$311,4,FALSE)*'OPEB Amounts_Report'!$K$326,0)</f>
        <v>10295238</v>
      </c>
      <c r="L150" s="130">
        <f>INDEX('Change in Proportion Layers'!$AD$8:$AD$324,MATCH('OPEB Amounts_Report'!A150,'Change in Proportion Layers'!$A$8:$A$324,0))</f>
        <v>221774</v>
      </c>
      <c r="M150" s="120">
        <f t="shared" si="6"/>
        <v>12575553</v>
      </c>
      <c r="N150" s="121"/>
      <c r="O150" s="121">
        <f>ROUND(VLOOKUP(A150,'Contribution Allocation_Report'!$A$9:$D$311,4,FALSE)*'OPEB Amounts_Report'!$O$326,0)</f>
        <v>-2921730</v>
      </c>
      <c r="P150" s="121">
        <f>INDEX('Change in Proportion Layers'!$AA$8:$AA$324,MATCH('OPEB Amounts_Report'!A150,'Change in Proportion Layers'!$A$8:$A$324,0))</f>
        <v>402663</v>
      </c>
      <c r="Q150" s="121">
        <f t="shared" si="8"/>
        <v>-2519067</v>
      </c>
    </row>
    <row r="151" spans="1:17" ht="12" customHeight="1">
      <c r="A151" s="166">
        <v>14045</v>
      </c>
      <c r="B151" s="167" t="s">
        <v>140</v>
      </c>
      <c r="C151" s="122">
        <f>ROUND(VLOOKUP(A151,'Contribution Allocation_Report'!$A$9:$D$311,4,FALSE)*'OPEB Amounts_Report'!$C$326,0)</f>
        <v>24145694</v>
      </c>
      <c r="D151" s="122">
        <f>ROUND(VLOOKUP(A151,'Contribution Allocation_Report'!$A$9:$D$311,4,FALSE)*'OPEB Amounts_Report'!$D$326,0)</f>
        <v>401614</v>
      </c>
      <c r="E151" s="122">
        <f>ROUND(VLOOKUP(A151,'Contribution Allocation_Report'!$A$9:$D$311,4,FALSE)*'OPEB Amounts_Report'!$E$326,0)</f>
        <v>332946</v>
      </c>
      <c r="F151" s="122">
        <f>ROUND(VLOOKUP(A151,'Contribution Allocation_Report'!$A$9:$D$311,4,FALSE)*'OPEB Amounts_Report'!$F$326,0)</f>
        <v>5152119</v>
      </c>
      <c r="G151" s="122">
        <f>INDEX('Change in Proportion Layers'!$AC$8:$AC$324,MATCH('OPEB Amounts_Report'!A151,'Change in Proportion Layers'!$A$8:$A$324,0))</f>
        <v>1398371</v>
      </c>
      <c r="H151" s="122">
        <f t="shared" si="7"/>
        <v>7285050</v>
      </c>
      <c r="I151" s="122"/>
      <c r="J151" s="122">
        <f>ROUND(VLOOKUP(A151,'Contribution Allocation_Report'!$A$9:$D$311,4,FALSE)*'OPEB Amounts_Report'!$J$326,0)</f>
        <v>3578905</v>
      </c>
      <c r="K151" s="122">
        <f>ROUND(VLOOKUP(A151,'Contribution Allocation_Report'!$A$9:$D$311,4,FALSE)*'OPEB Amounts_Report'!$K$326,0)</f>
        <v>17898931</v>
      </c>
      <c r="L151" s="131">
        <f>INDEX('Change in Proportion Layers'!$AD$8:$AD$324,MATCH('OPEB Amounts_Report'!A151,'Change in Proportion Layers'!$A$8:$A$324,0))</f>
        <v>125683</v>
      </c>
      <c r="M151" s="122">
        <f t="shared" si="6"/>
        <v>21603519</v>
      </c>
      <c r="N151" s="123"/>
      <c r="O151" s="123">
        <f>ROUND(VLOOKUP(A151,'Contribution Allocation_Report'!$A$9:$D$311,4,FALSE)*'OPEB Amounts_Report'!$O$326,0)</f>
        <v>-5079615</v>
      </c>
      <c r="P151" s="123">
        <f>INDEX('Change in Proportion Layers'!$AA$8:$AA$324,MATCH('OPEB Amounts_Report'!A151,'Change in Proportion Layers'!$A$8:$A$324,0))</f>
        <v>730413</v>
      </c>
      <c r="Q151" s="123">
        <f t="shared" si="8"/>
        <v>-4349202</v>
      </c>
    </row>
    <row r="152" spans="1:17" ht="12" customHeight="1">
      <c r="A152" s="164">
        <v>2322</v>
      </c>
      <c r="B152" s="168" t="s">
        <v>141</v>
      </c>
      <c r="C152" s="120">
        <f>ROUND(VLOOKUP(A152,'Contribution Allocation_Report'!$A$9:$D$311,4,FALSE)*'OPEB Amounts_Report'!$C$326,0)</f>
        <v>645931</v>
      </c>
      <c r="D152" s="120">
        <f>ROUND(VLOOKUP(A152,'Contribution Allocation_Report'!$A$9:$D$311,4,FALSE)*'OPEB Amounts_Report'!$D$326,0)</f>
        <v>10744</v>
      </c>
      <c r="E152" s="120">
        <f>ROUND(VLOOKUP(A152,'Contribution Allocation_Report'!$A$9:$D$311,4,FALSE)*'OPEB Amounts_Report'!$E$326,0)</f>
        <v>8907</v>
      </c>
      <c r="F152" s="120">
        <f>ROUND(VLOOKUP(A152,'Contribution Allocation_Report'!$A$9:$D$311,4,FALSE)*'OPEB Amounts_Report'!$F$326,0)</f>
        <v>137826</v>
      </c>
      <c r="G152" s="120">
        <f>INDEX('Change in Proportion Layers'!$AC$8:$AC$324,MATCH('OPEB Amounts_Report'!A152,'Change in Proportion Layers'!$A$8:$A$324,0))</f>
        <v>162732</v>
      </c>
      <c r="H152" s="120">
        <f t="shared" si="7"/>
        <v>320209</v>
      </c>
      <c r="I152" s="120"/>
      <c r="J152" s="120">
        <f>ROUND(VLOOKUP(A152,'Contribution Allocation_Report'!$A$9:$D$311,4,FALSE)*'OPEB Amounts_Report'!$J$326,0)</f>
        <v>95741</v>
      </c>
      <c r="K152" s="120">
        <f>ROUND(VLOOKUP(A152,'Contribution Allocation_Report'!$A$9:$D$311,4,FALSE)*'OPEB Amounts_Report'!$K$326,0)</f>
        <v>478822</v>
      </c>
      <c r="L152" s="130">
        <f>INDEX('Change in Proportion Layers'!$AD$8:$AD$324,MATCH('OPEB Amounts_Report'!A152,'Change in Proportion Layers'!$A$8:$A$324,0))</f>
        <v>126076</v>
      </c>
      <c r="M152" s="120">
        <f t="shared" si="6"/>
        <v>700639</v>
      </c>
      <c r="N152" s="121"/>
      <c r="O152" s="121">
        <f>ROUND(VLOOKUP(A152,'Contribution Allocation_Report'!$A$9:$D$311,4,FALSE)*'OPEB Amounts_Report'!$O$326,0)</f>
        <v>-135887</v>
      </c>
      <c r="P152" s="121">
        <f>INDEX('Change in Proportion Layers'!$AA$8:$AA$324,MATCH('OPEB Amounts_Report'!A152,'Change in Proportion Layers'!$A$8:$A$324,0))</f>
        <v>-6652</v>
      </c>
      <c r="Q152" s="121">
        <f t="shared" si="8"/>
        <v>-142539</v>
      </c>
    </row>
    <row r="153" spans="1:17" ht="12" customHeight="1">
      <c r="A153" s="166">
        <v>3006</v>
      </c>
      <c r="B153" s="167" t="s">
        <v>142</v>
      </c>
      <c r="C153" s="122">
        <f>ROUND(VLOOKUP(A153,'Contribution Allocation_Report'!$A$9:$D$311,4,FALSE)*'OPEB Amounts_Report'!$C$326,0)</f>
        <v>1962324</v>
      </c>
      <c r="D153" s="122">
        <f>ROUND(VLOOKUP(A153,'Contribution Allocation_Report'!$A$9:$D$311,4,FALSE)*'OPEB Amounts_Report'!$D$326,0)</f>
        <v>32639</v>
      </c>
      <c r="E153" s="122">
        <f>ROUND(VLOOKUP(A153,'Contribution Allocation_Report'!$A$9:$D$311,4,FALSE)*'OPEB Amounts_Report'!$E$326,0)</f>
        <v>27059</v>
      </c>
      <c r="F153" s="122">
        <f>ROUND(VLOOKUP(A153,'Contribution Allocation_Report'!$A$9:$D$311,4,FALSE)*'OPEB Amounts_Report'!$F$326,0)</f>
        <v>418713</v>
      </c>
      <c r="G153" s="122">
        <f>INDEX('Change in Proportion Layers'!$AC$8:$AC$324,MATCH('OPEB Amounts_Report'!A153,'Change in Proportion Layers'!$A$8:$A$324,0))</f>
        <v>573323</v>
      </c>
      <c r="H153" s="122">
        <f t="shared" si="7"/>
        <v>1051734</v>
      </c>
      <c r="I153" s="122"/>
      <c r="J153" s="122">
        <f>ROUND(VLOOKUP(A153,'Contribution Allocation_Report'!$A$9:$D$311,4,FALSE)*'OPEB Amounts_Report'!$J$326,0)</f>
        <v>290858</v>
      </c>
      <c r="K153" s="122">
        <f>ROUND(VLOOKUP(A153,'Contribution Allocation_Report'!$A$9:$D$311,4,FALSE)*'OPEB Amounts_Report'!$K$326,0)</f>
        <v>1454649</v>
      </c>
      <c r="L153" s="131">
        <f>INDEX('Change in Proportion Layers'!$AD$8:$AD$324,MATCH('OPEB Amounts_Report'!A153,'Change in Proportion Layers'!$A$8:$A$324,0))</f>
        <v>319270</v>
      </c>
      <c r="M153" s="122">
        <f t="shared" si="6"/>
        <v>2064777</v>
      </c>
      <c r="N153" s="123"/>
      <c r="O153" s="123">
        <f>ROUND(VLOOKUP(A153,'Contribution Allocation_Report'!$A$9:$D$311,4,FALSE)*'OPEB Amounts_Report'!$O$326,0)</f>
        <v>-412821</v>
      </c>
      <c r="P153" s="123">
        <f>INDEX('Change in Proportion Layers'!$AA$8:$AA$324,MATCH('OPEB Amounts_Report'!A153,'Change in Proportion Layers'!$A$8:$A$324,0))</f>
        <v>5770</v>
      </c>
      <c r="Q153" s="123">
        <f t="shared" si="8"/>
        <v>-407051</v>
      </c>
    </row>
    <row r="154" spans="1:17" ht="12" customHeight="1">
      <c r="A154" s="164">
        <v>6019</v>
      </c>
      <c r="B154" s="165" t="s">
        <v>143</v>
      </c>
      <c r="C154" s="126">
        <f>ROUND(VLOOKUP(A154,'Contribution Allocation_Report'!$A$9:$D$311,4,FALSE)*'OPEB Amounts_Report'!$C$326,0)</f>
        <v>10147762</v>
      </c>
      <c r="D154" s="126">
        <f>ROUND(VLOOKUP(A154,'Contribution Allocation_Report'!$A$9:$D$311,4,FALSE)*'OPEB Amounts_Report'!$D$326,0)</f>
        <v>168787</v>
      </c>
      <c r="E154" s="126">
        <f>ROUND(VLOOKUP(A154,'Contribution Allocation_Report'!$A$9:$D$311,4,FALSE)*'OPEB Amounts_Report'!$E$326,0)</f>
        <v>139928</v>
      </c>
      <c r="F154" s="126">
        <f>ROUND(VLOOKUP(A154,'Contribution Allocation_Report'!$A$9:$D$311,4,FALSE)*'OPEB Amounts_Report'!$F$326,0)</f>
        <v>2165292</v>
      </c>
      <c r="G154" s="126">
        <f>INDEX('Change in Proportion Layers'!$AC$8:$AC$324,MATCH('OPEB Amounts_Report'!A154,'Change in Proportion Layers'!$A$8:$A$324,0))</f>
        <v>1087077</v>
      </c>
      <c r="H154" s="126">
        <f t="shared" si="7"/>
        <v>3561084</v>
      </c>
      <c r="I154" s="126"/>
      <c r="J154" s="126">
        <f>ROUND(VLOOKUP(A154,'Contribution Allocation_Report'!$A$9:$D$311,4,FALSE)*'OPEB Amounts_Report'!$J$326,0)</f>
        <v>1504114</v>
      </c>
      <c r="K154" s="126">
        <f>ROUND(VLOOKUP(A154,'Contribution Allocation_Report'!$A$9:$D$311,4,FALSE)*'OPEB Amounts_Report'!$K$326,0)</f>
        <v>7522421</v>
      </c>
      <c r="L154" s="128">
        <f>INDEX('Change in Proportion Layers'!$AD$8:$AD$324,MATCH('OPEB Amounts_Report'!A154,'Change in Proportion Layers'!$A$8:$A$324,0))</f>
        <v>987988</v>
      </c>
      <c r="M154" s="126">
        <f t="shared" si="6"/>
        <v>10014523</v>
      </c>
      <c r="N154" s="127"/>
      <c r="O154" s="127">
        <f>ROUND(VLOOKUP(A154,'Contribution Allocation_Report'!$A$9:$D$311,4,FALSE)*'OPEB Amounts_Report'!$O$326,0)</f>
        <v>-2134820</v>
      </c>
      <c r="P154" s="127">
        <f>INDEX('Change in Proportion Layers'!$AA$8:$AA$324,MATCH('OPEB Amounts_Report'!A154,'Change in Proportion Layers'!$A$8:$A$324,0))</f>
        <v>84598</v>
      </c>
      <c r="Q154" s="127">
        <f t="shared" si="8"/>
        <v>-2050222</v>
      </c>
    </row>
    <row r="155" spans="1:17" ht="12" customHeight="1">
      <c r="A155" s="166">
        <v>12128</v>
      </c>
      <c r="B155" s="167" t="s">
        <v>144</v>
      </c>
      <c r="C155" s="122">
        <f>ROUND(VLOOKUP(A155,'Contribution Allocation_Report'!$A$9:$D$311,4,FALSE)*'OPEB Amounts_Report'!$C$326,0)</f>
        <v>2334236</v>
      </c>
      <c r="D155" s="122">
        <f>ROUND(VLOOKUP(A155,'Contribution Allocation_Report'!$A$9:$D$311,4,FALSE)*'OPEB Amounts_Report'!$D$326,0)</f>
        <v>38825</v>
      </c>
      <c r="E155" s="122">
        <f>ROUND(VLOOKUP(A155,'Contribution Allocation_Report'!$A$9:$D$311,4,FALSE)*'OPEB Amounts_Report'!$E$326,0)</f>
        <v>32187</v>
      </c>
      <c r="F155" s="122">
        <f>ROUND(VLOOKUP(A155,'Contribution Allocation_Report'!$A$9:$D$311,4,FALSE)*'OPEB Amounts_Report'!$F$326,0)</f>
        <v>498071</v>
      </c>
      <c r="G155" s="122">
        <f>INDEX('Change in Proportion Layers'!$AC$8:$AC$324,MATCH('OPEB Amounts_Report'!A155,'Change in Proportion Layers'!$A$8:$A$324,0))</f>
        <v>137630</v>
      </c>
      <c r="H155" s="122">
        <f t="shared" si="7"/>
        <v>706713</v>
      </c>
      <c r="I155" s="122"/>
      <c r="J155" s="122">
        <f>ROUND(VLOOKUP(A155,'Contribution Allocation_Report'!$A$9:$D$311,4,FALSE)*'OPEB Amounts_Report'!$J$326,0)</f>
        <v>345983</v>
      </c>
      <c r="K155" s="122">
        <f>ROUND(VLOOKUP(A155,'Contribution Allocation_Report'!$A$9:$D$311,4,FALSE)*'OPEB Amounts_Report'!$K$326,0)</f>
        <v>1730343</v>
      </c>
      <c r="L155" s="122">
        <f>INDEX('Change in Proportion Layers'!$AD$8:$AD$324,MATCH('OPEB Amounts_Report'!A155,'Change in Proportion Layers'!$A$8:$A$324,0))</f>
        <v>1163700</v>
      </c>
      <c r="M155" s="122">
        <f t="shared" si="6"/>
        <v>3240026</v>
      </c>
      <c r="N155" s="123"/>
      <c r="O155" s="123">
        <f>ROUND(VLOOKUP(A155,'Contribution Allocation_Report'!$A$9:$D$311,4,FALSE)*'OPEB Amounts_Report'!$O$326,0)</f>
        <v>-491062</v>
      </c>
      <c r="P155" s="123">
        <f>INDEX('Change in Proportion Layers'!$AA$8:$AA$324,MATCH('OPEB Amounts_Report'!A155,'Change in Proportion Layers'!$A$8:$A$324,0))</f>
        <v>-213387</v>
      </c>
      <c r="Q155" s="123">
        <f t="shared" si="8"/>
        <v>-704449</v>
      </c>
    </row>
    <row r="156" spans="1:17" ht="12" customHeight="1">
      <c r="A156" s="164">
        <v>3180</v>
      </c>
      <c r="B156" s="168" t="s">
        <v>145</v>
      </c>
      <c r="C156" s="120">
        <f>ROUND(VLOOKUP(A156,'Contribution Allocation_Report'!$A$9:$D$311,4,FALSE)*'OPEB Amounts_Report'!$C$326,0)</f>
        <v>4282498</v>
      </c>
      <c r="D156" s="120">
        <f>ROUND(VLOOKUP(A156,'Contribution Allocation_Report'!$A$9:$D$311,4,FALSE)*'OPEB Amounts_Report'!$D$326,0)</f>
        <v>71231</v>
      </c>
      <c r="E156" s="120">
        <f>ROUND(VLOOKUP(A156,'Contribution Allocation_Report'!$A$9:$D$311,4,FALSE)*'OPEB Amounts_Report'!$E$326,0)</f>
        <v>59052</v>
      </c>
      <c r="F156" s="120">
        <f>ROUND(VLOOKUP(A156,'Contribution Allocation_Report'!$A$9:$D$311,4,FALSE)*'OPEB Amounts_Report'!$F$326,0)</f>
        <v>913783</v>
      </c>
      <c r="G156" s="120">
        <f>INDEX('Change in Proportion Layers'!$AC$8:$AC$324,MATCH('OPEB Amounts_Report'!A156,'Change in Proportion Layers'!$A$8:$A$324,0))</f>
        <v>273152</v>
      </c>
      <c r="H156" s="120">
        <f t="shared" si="7"/>
        <v>1317218</v>
      </c>
      <c r="I156" s="120"/>
      <c r="J156" s="120">
        <f>ROUND(VLOOKUP(A156,'Contribution Allocation_Report'!$A$9:$D$311,4,FALSE)*'OPEB Amounts_Report'!$J$326,0)</f>
        <v>634757</v>
      </c>
      <c r="K156" s="120">
        <f>ROUND(VLOOKUP(A156,'Contribution Allocation_Report'!$A$9:$D$311,4,FALSE)*'OPEB Amounts_Report'!$K$326,0)</f>
        <v>3174567</v>
      </c>
      <c r="L156" s="120">
        <f>INDEX('Change in Proportion Layers'!$AD$8:$AD$324,MATCH('OPEB Amounts_Report'!A156,'Change in Proportion Layers'!$A$8:$A$324,0))</f>
        <v>417911</v>
      </c>
      <c r="M156" s="120">
        <f t="shared" si="6"/>
        <v>4227235</v>
      </c>
      <c r="N156" s="121"/>
      <c r="O156" s="121">
        <f>ROUND(VLOOKUP(A156,'Contribution Allocation_Report'!$A$9:$D$311,4,FALSE)*'OPEB Amounts_Report'!$O$326,0)</f>
        <v>-900924</v>
      </c>
      <c r="P156" s="121">
        <f>INDEX('Change in Proportion Layers'!$AA$8:$AA$324,MATCH('OPEB Amounts_Report'!A156,'Change in Proportion Layers'!$A$8:$A$324,0))</f>
        <v>-120773</v>
      </c>
      <c r="Q156" s="121">
        <f t="shared" si="8"/>
        <v>-1021697</v>
      </c>
    </row>
    <row r="157" spans="1:17" ht="12" customHeight="1">
      <c r="A157" s="166">
        <v>25075</v>
      </c>
      <c r="B157" s="167" t="s">
        <v>146</v>
      </c>
      <c r="C157" s="122">
        <f>ROUND(VLOOKUP(A157,'Contribution Allocation_Report'!$A$9:$D$311,4,FALSE)*'OPEB Amounts_Report'!$C$326,0)</f>
        <v>1847888</v>
      </c>
      <c r="D157" s="122">
        <f>ROUND(VLOOKUP(A157,'Contribution Allocation_Report'!$A$9:$D$311,4,FALSE)*'OPEB Amounts_Report'!$D$326,0)</f>
        <v>30736</v>
      </c>
      <c r="E157" s="122">
        <f>ROUND(VLOOKUP(A157,'Contribution Allocation_Report'!$A$9:$D$311,4,FALSE)*'OPEB Amounts_Report'!$E$326,0)</f>
        <v>25481</v>
      </c>
      <c r="F157" s="122">
        <f>ROUND(VLOOKUP(A157,'Contribution Allocation_Report'!$A$9:$D$311,4,FALSE)*'OPEB Amounts_Report'!$F$326,0)</f>
        <v>394295</v>
      </c>
      <c r="G157" s="122">
        <f>INDEX('Change in Proportion Layers'!$AC$8:$AC$324,MATCH('OPEB Amounts_Report'!A157,'Change in Proportion Layers'!$A$8:$A$324,0))</f>
        <v>469811</v>
      </c>
      <c r="H157" s="122">
        <f t="shared" si="7"/>
        <v>920323</v>
      </c>
      <c r="I157" s="122"/>
      <c r="J157" s="122">
        <f>ROUND(VLOOKUP(A157,'Contribution Allocation_Report'!$A$9:$D$311,4,FALSE)*'OPEB Amounts_Report'!$J$326,0)</f>
        <v>273896</v>
      </c>
      <c r="K157" s="122">
        <f>ROUND(VLOOKUP(A157,'Contribution Allocation_Report'!$A$9:$D$311,4,FALSE)*'OPEB Amounts_Report'!$K$326,0)</f>
        <v>1369818</v>
      </c>
      <c r="L157" s="122">
        <f>INDEX('Change in Proportion Layers'!$AD$8:$AD$324,MATCH('OPEB Amounts_Report'!A157,'Change in Proportion Layers'!$A$8:$A$324,0))</f>
        <v>129432</v>
      </c>
      <c r="M157" s="122">
        <f t="shared" si="6"/>
        <v>1773146</v>
      </c>
      <c r="N157" s="123"/>
      <c r="O157" s="123">
        <f>ROUND(VLOOKUP(A157,'Contribution Allocation_Report'!$A$9:$D$311,4,FALSE)*'OPEB Amounts_Report'!$O$326,0)</f>
        <v>-388747</v>
      </c>
      <c r="P157" s="123">
        <f>INDEX('Change in Proportion Layers'!$AA$8:$AA$324,MATCH('OPEB Amounts_Report'!A157,'Change in Proportion Layers'!$A$8:$A$324,0))</f>
        <v>31597</v>
      </c>
      <c r="Q157" s="123">
        <f t="shared" si="8"/>
        <v>-357150</v>
      </c>
    </row>
    <row r="158" spans="1:17" ht="12" customHeight="1">
      <c r="A158" s="164">
        <v>2311</v>
      </c>
      <c r="B158" s="168" t="s">
        <v>440</v>
      </c>
      <c r="C158" s="120">
        <f>ROUND(VLOOKUP(A158,'Contribution Allocation_Report'!$A$9:$D$311,4,FALSE)*'OPEB Amounts_Report'!$C$326,0)</f>
        <v>697609</v>
      </c>
      <c r="D158" s="120">
        <f>ROUND(VLOOKUP(A158,'Contribution Allocation_Report'!$A$9:$D$311,4,FALSE)*'OPEB Amounts_Report'!$D$326,0)</f>
        <v>11603</v>
      </c>
      <c r="E158" s="120">
        <f>ROUND(VLOOKUP(A158,'Contribution Allocation_Report'!$A$9:$D$311,4,FALSE)*'OPEB Amounts_Report'!$E$326,0)</f>
        <v>9619</v>
      </c>
      <c r="F158" s="120">
        <f>ROUND(VLOOKUP(A158,'Contribution Allocation_Report'!$A$9:$D$311,4,FALSE)*'OPEB Amounts_Report'!$F$326,0)</f>
        <v>148853</v>
      </c>
      <c r="G158" s="120">
        <f>INDEX('Change in Proportion Layers'!$AC$8:$AC$324,MATCH('OPEB Amounts_Report'!A158,'Change in Proportion Layers'!$A$8:$A$324,0))</f>
        <v>274325</v>
      </c>
      <c r="H158" s="120">
        <f t="shared" si="7"/>
        <v>444400</v>
      </c>
      <c r="I158" s="120"/>
      <c r="J158" s="120">
        <f>ROUND(VLOOKUP(A158,'Contribution Allocation_Report'!$A$9:$D$311,4,FALSE)*'OPEB Amounts_Report'!$J$326,0)</f>
        <v>103400</v>
      </c>
      <c r="K158" s="120">
        <f>ROUND(VLOOKUP(A158,'Contribution Allocation_Report'!$A$9:$D$311,4,FALSE)*'OPEB Amounts_Report'!$K$326,0)</f>
        <v>517129</v>
      </c>
      <c r="L158" s="120">
        <f>INDEX('Change in Proportion Layers'!$AD$8:$AD$324,MATCH('OPEB Amounts_Report'!A158,'Change in Proportion Layers'!$A$8:$A$324,0))</f>
        <v>117303</v>
      </c>
      <c r="M158" s="120">
        <f t="shared" si="6"/>
        <v>737832</v>
      </c>
      <c r="N158" s="121"/>
      <c r="O158" s="121">
        <f>ROUND(VLOOKUP(A158,'Contribution Allocation_Report'!$A$9:$D$311,4,FALSE)*'OPEB Amounts_Report'!$O$326,0)</f>
        <v>-146758</v>
      </c>
      <c r="P158" s="121">
        <f>INDEX('Change in Proportion Layers'!$AA$8:$AA$324,MATCH('OPEB Amounts_Report'!A158,'Change in Proportion Layers'!$A$8:$A$324,0))</f>
        <v>63458</v>
      </c>
      <c r="Q158" s="121">
        <f t="shared" si="8"/>
        <v>-83300</v>
      </c>
    </row>
    <row r="159" spans="1:17" ht="12" customHeight="1">
      <c r="A159" s="166">
        <v>9028</v>
      </c>
      <c r="B159" s="167" t="s">
        <v>147</v>
      </c>
      <c r="C159" s="122">
        <f>ROUND(VLOOKUP(A159,'Contribution Allocation_Report'!$A$9:$D$311,4,FALSE)*'OPEB Amounts_Report'!$C$326,0)</f>
        <v>636397</v>
      </c>
      <c r="D159" s="122">
        <f>ROUND(VLOOKUP(A159,'Contribution Allocation_Report'!$A$9:$D$311,4,FALSE)*'OPEB Amounts_Report'!$D$326,0)</f>
        <v>10585</v>
      </c>
      <c r="E159" s="122">
        <f>ROUND(VLOOKUP(A159,'Contribution Allocation_Report'!$A$9:$D$311,4,FALSE)*'OPEB Amounts_Report'!$E$326,0)</f>
        <v>8775</v>
      </c>
      <c r="F159" s="122">
        <f>ROUND(VLOOKUP(A159,'Contribution Allocation_Report'!$A$9:$D$311,4,FALSE)*'OPEB Amounts_Report'!$F$326,0)</f>
        <v>135792</v>
      </c>
      <c r="G159" s="122">
        <f>INDEX('Change in Proportion Layers'!$AC$8:$AC$324,MATCH('OPEB Amounts_Report'!A159,'Change in Proportion Layers'!$A$8:$A$324,0))</f>
        <v>11260</v>
      </c>
      <c r="H159" s="122">
        <f t="shared" si="7"/>
        <v>166412</v>
      </c>
      <c r="I159" s="122"/>
      <c r="J159" s="122">
        <f>ROUND(VLOOKUP(A159,'Contribution Allocation_Report'!$A$9:$D$311,4,FALSE)*'OPEB Amounts_Report'!$J$326,0)</f>
        <v>94328</v>
      </c>
      <c r="K159" s="122">
        <f>ROUND(VLOOKUP(A159,'Contribution Allocation_Report'!$A$9:$D$311,4,FALSE)*'OPEB Amounts_Report'!$K$326,0)</f>
        <v>471754</v>
      </c>
      <c r="L159" s="122">
        <f>INDEX('Change in Proportion Layers'!$AD$8:$AD$324,MATCH('OPEB Amounts_Report'!A159,'Change in Proportion Layers'!$A$8:$A$324,0))</f>
        <v>99198</v>
      </c>
      <c r="M159" s="122">
        <f t="shared" si="6"/>
        <v>665280</v>
      </c>
      <c r="N159" s="123"/>
      <c r="O159" s="123">
        <f>ROUND(VLOOKUP(A159,'Contribution Allocation_Report'!$A$9:$D$311,4,FALSE)*'OPEB Amounts_Report'!$O$326,0)</f>
        <v>-133881</v>
      </c>
      <c r="P159" s="123">
        <f>INDEX('Change in Proportion Layers'!$AA$8:$AA$324,MATCH('OPEB Amounts_Report'!A159,'Change in Proportion Layers'!$A$8:$A$324,0))</f>
        <v>-23539</v>
      </c>
      <c r="Q159" s="123">
        <f t="shared" si="8"/>
        <v>-157420</v>
      </c>
    </row>
    <row r="160" spans="1:17" ht="12" customHeight="1">
      <c r="A160" s="164">
        <v>17424</v>
      </c>
      <c r="B160" s="168" t="s">
        <v>148</v>
      </c>
      <c r="C160" s="120">
        <f>ROUND(VLOOKUP(A160,'Contribution Allocation_Report'!$A$9:$D$311,4,FALSE)*'OPEB Amounts_Report'!$C$326,0)</f>
        <v>1175469</v>
      </c>
      <c r="D160" s="120">
        <f>ROUND(VLOOKUP(A160,'Contribution Allocation_Report'!$A$9:$D$311,4,FALSE)*'OPEB Amounts_Report'!$D$326,0)</f>
        <v>19552</v>
      </c>
      <c r="E160" s="120">
        <f>ROUND(VLOOKUP(A160,'Contribution Allocation_Report'!$A$9:$D$311,4,FALSE)*'OPEB Amounts_Report'!$E$326,0)</f>
        <v>16209</v>
      </c>
      <c r="F160" s="120">
        <f>ROUND(VLOOKUP(A160,'Contribution Allocation_Report'!$A$9:$D$311,4,FALSE)*'OPEB Amounts_Report'!$F$326,0)</f>
        <v>250817</v>
      </c>
      <c r="G160" s="130">
        <f>INDEX('Change in Proportion Layers'!$AC$8:$AC$324,MATCH('OPEB Amounts_Report'!A160,'Change in Proportion Layers'!$A$8:$A$324,0))</f>
        <v>151416</v>
      </c>
      <c r="H160" s="120">
        <f t="shared" si="7"/>
        <v>437994</v>
      </c>
      <c r="I160" s="120"/>
      <c r="J160" s="120">
        <f>ROUND(VLOOKUP(A160,'Contribution Allocation_Report'!$A$9:$D$311,4,FALSE)*'OPEB Amounts_Report'!$J$326,0)</f>
        <v>174230</v>
      </c>
      <c r="K160" s="120">
        <f>ROUND(VLOOKUP(A160,'Contribution Allocation_Report'!$A$9:$D$311,4,FALSE)*'OPEB Amounts_Report'!$K$326,0)</f>
        <v>871362</v>
      </c>
      <c r="L160" s="120">
        <f>INDEX('Change in Proportion Layers'!$AD$8:$AD$324,MATCH('OPEB Amounts_Report'!A160,'Change in Proportion Layers'!$A$8:$A$324,0))</f>
        <v>56140</v>
      </c>
      <c r="M160" s="120">
        <f t="shared" si="6"/>
        <v>1101732</v>
      </c>
      <c r="N160" s="121"/>
      <c r="O160" s="121">
        <f>ROUND(VLOOKUP(A160,'Contribution Allocation_Report'!$A$9:$D$311,4,FALSE)*'OPEB Amounts_Report'!$O$326,0)</f>
        <v>-247288</v>
      </c>
      <c r="P160" s="121">
        <f>INDEX('Change in Proportion Layers'!$AA$8:$AA$324,MATCH('OPEB Amounts_Report'!A160,'Change in Proportion Layers'!$A$8:$A$324,0))</f>
        <v>6835</v>
      </c>
      <c r="Q160" s="121">
        <f t="shared" si="8"/>
        <v>-240453</v>
      </c>
    </row>
    <row r="161" spans="1:17" ht="12" customHeight="1">
      <c r="A161" s="166">
        <v>3200</v>
      </c>
      <c r="B161" s="167" t="s">
        <v>149</v>
      </c>
      <c r="C161" s="122">
        <f>ROUND(VLOOKUP(A161,'Contribution Allocation_Report'!$A$9:$D$311,4,FALSE)*'OPEB Amounts_Report'!$C$326,0)</f>
        <v>4702264</v>
      </c>
      <c r="D161" s="122">
        <f>ROUND(VLOOKUP(A161,'Contribution Allocation_Report'!$A$9:$D$311,4,FALSE)*'OPEB Amounts_Report'!$D$326,0)</f>
        <v>78212</v>
      </c>
      <c r="E161" s="122">
        <f>ROUND(VLOOKUP(A161,'Contribution Allocation_Report'!$A$9:$D$311,4,FALSE)*'OPEB Amounts_Report'!$E$326,0)</f>
        <v>64840</v>
      </c>
      <c r="F161" s="122">
        <f>ROUND(VLOOKUP(A161,'Contribution Allocation_Report'!$A$9:$D$311,4,FALSE)*'OPEB Amounts_Report'!$F$326,0)</f>
        <v>1003352</v>
      </c>
      <c r="G161" s="122">
        <f>INDEX('Change in Proportion Layers'!$AC$8:$AC$324,MATCH('OPEB Amounts_Report'!A161,'Change in Proportion Layers'!$A$8:$A$324,0))</f>
        <v>0</v>
      </c>
      <c r="H161" s="122">
        <f t="shared" si="7"/>
        <v>1146404</v>
      </c>
      <c r="I161" s="122"/>
      <c r="J161" s="122">
        <f>ROUND(VLOOKUP(A161,'Contribution Allocation_Report'!$A$9:$D$311,4,FALSE)*'OPEB Amounts_Report'!$J$326,0)</f>
        <v>696975</v>
      </c>
      <c r="K161" s="122">
        <f>ROUND(VLOOKUP(A161,'Contribution Allocation_Report'!$A$9:$D$311,4,FALSE)*'OPEB Amounts_Report'!$K$326,0)</f>
        <v>3485736</v>
      </c>
      <c r="L161" s="131">
        <f>INDEX('Change in Proportion Layers'!$AD$8:$AD$324,MATCH('OPEB Amounts_Report'!A161,'Change in Proportion Layers'!$A$8:$A$324,0))</f>
        <v>851381</v>
      </c>
      <c r="M161" s="122">
        <f t="shared" si="6"/>
        <v>5034092</v>
      </c>
      <c r="N161" s="123"/>
      <c r="O161" s="123">
        <f>ROUND(VLOOKUP(A161,'Contribution Allocation_Report'!$A$9:$D$311,4,FALSE)*'OPEB Amounts_Report'!$O$326,0)</f>
        <v>-989232</v>
      </c>
      <c r="P161" s="123">
        <f>INDEX('Change in Proportion Layers'!$AA$8:$AA$324,MATCH('OPEB Amounts_Report'!A161,'Change in Proportion Layers'!$A$8:$A$324,0))</f>
        <v>-477386</v>
      </c>
      <c r="Q161" s="123">
        <f t="shared" si="8"/>
        <v>-1466618</v>
      </c>
    </row>
    <row r="162" spans="1:17" ht="12" customHeight="1">
      <c r="A162" s="164">
        <v>2365</v>
      </c>
      <c r="B162" s="168" t="s">
        <v>150</v>
      </c>
      <c r="C162" s="120">
        <f>ROUND(VLOOKUP(A162,'Contribution Allocation_Report'!$A$9:$D$311,4,FALSE)*'OPEB Amounts_Report'!$C$326,0)</f>
        <v>670211</v>
      </c>
      <c r="D162" s="120">
        <f>ROUND(VLOOKUP(A162,'Contribution Allocation_Report'!$A$9:$D$311,4,FALSE)*'OPEB Amounts_Report'!$D$326,0)</f>
        <v>11148</v>
      </c>
      <c r="E162" s="120">
        <f>ROUND(VLOOKUP(A162,'Contribution Allocation_Report'!$A$9:$D$311,4,FALSE)*'OPEB Amounts_Report'!$E$326,0)</f>
        <v>9242</v>
      </c>
      <c r="F162" s="120">
        <f>ROUND(VLOOKUP(A162,'Contribution Allocation_Report'!$A$9:$D$311,4,FALSE)*'OPEB Amounts_Report'!$F$326,0)</f>
        <v>143007</v>
      </c>
      <c r="G162" s="130">
        <f>INDEX('Change in Proportion Layers'!$AC$8:$AC$324,MATCH('OPEB Amounts_Report'!A162,'Change in Proportion Layers'!$A$8:$A$324,0))</f>
        <v>65674</v>
      </c>
      <c r="H162" s="120">
        <f t="shared" si="7"/>
        <v>229071</v>
      </c>
      <c r="I162" s="120"/>
      <c r="J162" s="120">
        <f>ROUND(VLOOKUP(A162,'Contribution Allocation_Report'!$A$9:$D$311,4,FALSE)*'OPEB Amounts_Report'!$J$326,0)</f>
        <v>99340</v>
      </c>
      <c r="K162" s="120">
        <f>ROUND(VLOOKUP(A162,'Contribution Allocation_Report'!$A$9:$D$311,4,FALSE)*'OPEB Amounts_Report'!$K$326,0)</f>
        <v>496820</v>
      </c>
      <c r="L162" s="120">
        <f>INDEX('Change in Proportion Layers'!$AD$8:$AD$324,MATCH('OPEB Amounts_Report'!A162,'Change in Proportion Layers'!$A$8:$A$324,0))</f>
        <v>289781</v>
      </c>
      <c r="M162" s="120">
        <f t="shared" si="6"/>
        <v>885941</v>
      </c>
      <c r="N162" s="121"/>
      <c r="O162" s="121">
        <f>ROUND(VLOOKUP(A162,'Contribution Allocation_Report'!$A$9:$D$311,4,FALSE)*'OPEB Amounts_Report'!$O$326,0)</f>
        <v>-140995</v>
      </c>
      <c r="P162" s="121">
        <f>INDEX('Change in Proportion Layers'!$AA$8:$AA$324,MATCH('OPEB Amounts_Report'!A162,'Change in Proportion Layers'!$A$8:$A$324,0))</f>
        <v>-26109</v>
      </c>
      <c r="Q162" s="121">
        <f t="shared" si="8"/>
        <v>-167104</v>
      </c>
    </row>
    <row r="163" spans="1:17" ht="12" customHeight="1">
      <c r="A163" s="166">
        <v>5014</v>
      </c>
      <c r="B163" s="167" t="s">
        <v>151</v>
      </c>
      <c r="C163" s="122">
        <f>ROUND(VLOOKUP(A163,'Contribution Allocation_Report'!$A$9:$D$311,4,FALSE)*'OPEB Amounts_Report'!$C$326,0)</f>
        <v>939747</v>
      </c>
      <c r="D163" s="122">
        <f>ROUND(VLOOKUP(A163,'Contribution Allocation_Report'!$A$9:$D$311,4,FALSE)*'OPEB Amounts_Report'!$D$326,0)</f>
        <v>15631</v>
      </c>
      <c r="E163" s="122">
        <f>ROUND(VLOOKUP(A163,'Contribution Allocation_Report'!$A$9:$D$311,4,FALSE)*'OPEB Amounts_Report'!$E$326,0)</f>
        <v>12958</v>
      </c>
      <c r="F163" s="122">
        <f>ROUND(VLOOKUP(A163,'Contribution Allocation_Report'!$A$9:$D$311,4,FALSE)*'OPEB Amounts_Report'!$F$326,0)</f>
        <v>200520</v>
      </c>
      <c r="G163" s="122">
        <f>INDEX('Change in Proportion Layers'!$AC$8:$AC$324,MATCH('OPEB Amounts_Report'!A163,'Change in Proportion Layers'!$A$8:$A$324,0))</f>
        <v>73694</v>
      </c>
      <c r="H163" s="122">
        <f t="shared" si="7"/>
        <v>302803</v>
      </c>
      <c r="I163" s="122"/>
      <c r="J163" s="122">
        <f>ROUND(VLOOKUP(A163,'Contribution Allocation_Report'!$A$9:$D$311,4,FALSE)*'OPEB Amounts_Report'!$J$326,0)</f>
        <v>139291</v>
      </c>
      <c r="K163" s="122">
        <f>ROUND(VLOOKUP(A163,'Contribution Allocation_Report'!$A$9:$D$311,4,FALSE)*'OPEB Amounts_Report'!$K$326,0)</f>
        <v>696624</v>
      </c>
      <c r="L163" s="122">
        <f>INDEX('Change in Proportion Layers'!$AD$8:$AD$324,MATCH('OPEB Amounts_Report'!A163,'Change in Proportion Layers'!$A$8:$A$324,0))</f>
        <v>29138</v>
      </c>
      <c r="M163" s="122">
        <f t="shared" si="6"/>
        <v>865053</v>
      </c>
      <c r="N163" s="123"/>
      <c r="O163" s="123">
        <f>ROUND(VLOOKUP(A163,'Contribution Allocation_Report'!$A$9:$D$311,4,FALSE)*'OPEB Amounts_Report'!$O$326,0)</f>
        <v>-197698</v>
      </c>
      <c r="P163" s="123">
        <f>INDEX('Change in Proportion Layers'!$AA$8:$AA$324,MATCH('OPEB Amounts_Report'!A163,'Change in Proportion Layers'!$A$8:$A$324,0))</f>
        <v>18258</v>
      </c>
      <c r="Q163" s="123">
        <f t="shared" si="8"/>
        <v>-179440</v>
      </c>
    </row>
    <row r="164" spans="1:17" ht="12" customHeight="1">
      <c r="A164" s="164">
        <v>17127</v>
      </c>
      <c r="B164" s="168" t="s">
        <v>152</v>
      </c>
      <c r="C164" s="120">
        <f>ROUND(VLOOKUP(A164,'Contribution Allocation_Report'!$A$9:$D$311,4,FALSE)*'OPEB Amounts_Report'!$C$326,0)</f>
        <v>983711</v>
      </c>
      <c r="D164" s="120">
        <f>ROUND(VLOOKUP(A164,'Contribution Allocation_Report'!$A$9:$D$311,4,FALSE)*'OPEB Amounts_Report'!$D$326,0)</f>
        <v>16362</v>
      </c>
      <c r="E164" s="120">
        <f>ROUND(VLOOKUP(A164,'Contribution Allocation_Report'!$A$9:$D$311,4,FALSE)*'OPEB Amounts_Report'!$E$326,0)</f>
        <v>13564</v>
      </c>
      <c r="F164" s="120">
        <f>ROUND(VLOOKUP(A164,'Contribution Allocation_Report'!$A$9:$D$311,4,FALSE)*'OPEB Amounts_Report'!$F$326,0)</f>
        <v>209901</v>
      </c>
      <c r="G164" s="120">
        <f>INDEX('Change in Proportion Layers'!$AC$8:$AC$324,MATCH('OPEB Amounts_Report'!A164,'Change in Proportion Layers'!$A$8:$A$324,0))</f>
        <v>363368</v>
      </c>
      <c r="H164" s="120">
        <f t="shared" si="7"/>
        <v>603195</v>
      </c>
      <c r="I164" s="120"/>
      <c r="J164" s="120">
        <f>ROUND(VLOOKUP(A164,'Contribution Allocation_Report'!$A$9:$D$311,4,FALSE)*'OPEB Amounts_Report'!$J$326,0)</f>
        <v>145807</v>
      </c>
      <c r="K164" s="120">
        <f>ROUND(VLOOKUP(A164,'Contribution Allocation_Report'!$A$9:$D$311,4,FALSE)*'OPEB Amounts_Report'!$K$326,0)</f>
        <v>729214</v>
      </c>
      <c r="L164" s="120">
        <f>INDEX('Change in Proportion Layers'!$AD$8:$AD$324,MATCH('OPEB Amounts_Report'!A164,'Change in Proportion Layers'!$A$8:$A$324,0))</f>
        <v>555525</v>
      </c>
      <c r="M164" s="120">
        <f t="shared" si="6"/>
        <v>1430546</v>
      </c>
      <c r="N164" s="121"/>
      <c r="O164" s="121">
        <f>ROUND(VLOOKUP(A164,'Contribution Allocation_Report'!$A$9:$D$311,4,FALSE)*'OPEB Amounts_Report'!$O$326,0)</f>
        <v>-206947</v>
      </c>
      <c r="P164" s="121">
        <f>INDEX('Change in Proportion Layers'!$AA$8:$AA$324,MATCH('OPEB Amounts_Report'!A164,'Change in Proportion Layers'!$A$8:$A$324,0))</f>
        <v>-166369</v>
      </c>
      <c r="Q164" s="121">
        <f t="shared" si="8"/>
        <v>-373316</v>
      </c>
    </row>
    <row r="165" spans="1:17" ht="12" customHeight="1">
      <c r="A165" s="166">
        <v>10141</v>
      </c>
      <c r="B165" s="167" t="s">
        <v>153</v>
      </c>
      <c r="C165" s="122">
        <f>ROUND(VLOOKUP(A165,'Contribution Allocation_Report'!$A$9:$D$311,4,FALSE)*'OPEB Amounts_Report'!$C$326,0)</f>
        <v>1820968</v>
      </c>
      <c r="D165" s="122">
        <f>ROUND(VLOOKUP(A165,'Contribution Allocation_Report'!$A$9:$D$311,4,FALSE)*'OPEB Amounts_Report'!$D$326,0)</f>
        <v>30288</v>
      </c>
      <c r="E165" s="122">
        <f>ROUND(VLOOKUP(A165,'Contribution Allocation_Report'!$A$9:$D$311,4,FALSE)*'OPEB Amounts_Report'!$E$326,0)</f>
        <v>25109</v>
      </c>
      <c r="F165" s="122">
        <f>ROUND(VLOOKUP(A165,'Contribution Allocation_Report'!$A$9:$D$311,4,FALSE)*'OPEB Amounts_Report'!$F$326,0)</f>
        <v>388551</v>
      </c>
      <c r="G165" s="122">
        <f>INDEX('Change in Proportion Layers'!$AC$8:$AC$324,MATCH('OPEB Amounts_Report'!A165,'Change in Proportion Layers'!$A$8:$A$324,0))</f>
        <v>616190</v>
      </c>
      <c r="H165" s="122">
        <f t="shared" si="7"/>
        <v>1060138</v>
      </c>
      <c r="I165" s="122"/>
      <c r="J165" s="122">
        <f>ROUND(VLOOKUP(A165,'Contribution Allocation_Report'!$A$9:$D$311,4,FALSE)*'OPEB Amounts_Report'!$J$326,0)</f>
        <v>269906</v>
      </c>
      <c r="K165" s="122">
        <f>ROUND(VLOOKUP(A165,'Contribution Allocation_Report'!$A$9:$D$311,4,FALSE)*'OPEB Amounts_Report'!$K$326,0)</f>
        <v>1349863</v>
      </c>
      <c r="L165" s="122">
        <f>INDEX('Change in Proportion Layers'!$AD$8:$AD$324,MATCH('OPEB Amounts_Report'!A165,'Change in Proportion Layers'!$A$8:$A$324,0))</f>
        <v>277975</v>
      </c>
      <c r="M165" s="122">
        <f t="shared" si="6"/>
        <v>1897744</v>
      </c>
      <c r="N165" s="123"/>
      <c r="O165" s="123">
        <f>ROUND(VLOOKUP(A165,'Contribution Allocation_Report'!$A$9:$D$311,4,FALSE)*'OPEB Amounts_Report'!$O$326,0)</f>
        <v>-383084</v>
      </c>
      <c r="P165" s="123">
        <f>INDEX('Change in Proportion Layers'!$AA$8:$AA$324,MATCH('OPEB Amounts_Report'!A165,'Change in Proportion Layers'!$A$8:$A$324,0))</f>
        <v>42544</v>
      </c>
      <c r="Q165" s="123">
        <f t="shared" si="8"/>
        <v>-340540</v>
      </c>
    </row>
    <row r="166" spans="1:17" ht="12" customHeight="1">
      <c r="A166" s="164">
        <v>4570</v>
      </c>
      <c r="B166" s="168" t="s">
        <v>412</v>
      </c>
      <c r="C166" s="120">
        <f>ROUND(VLOOKUP(A166,'Contribution Allocation_Report'!$A$9:$D$311,4,FALSE)*'OPEB Amounts_Report'!$C$326,0)</f>
        <v>3562794</v>
      </c>
      <c r="D166" s="120">
        <f>ROUND(VLOOKUP(A166,'Contribution Allocation_Report'!$A$9:$D$311,4,FALSE)*'OPEB Amounts_Report'!$D$326,0)</f>
        <v>59260</v>
      </c>
      <c r="E166" s="120">
        <f>ROUND(VLOOKUP(A166,'Contribution Allocation_Report'!$A$9:$D$311,4,FALSE)*'OPEB Amounts_Report'!$E$326,0)</f>
        <v>49128</v>
      </c>
      <c r="F166" s="120">
        <f>ROUND(VLOOKUP(A166,'Contribution Allocation_Report'!$A$9:$D$311,4,FALSE)*'OPEB Amounts_Report'!$F$326,0)</f>
        <v>760216</v>
      </c>
      <c r="G166" s="120">
        <f>INDEX('Change in Proportion Layers'!$AC$8:$AC$324,MATCH('OPEB Amounts_Report'!A166,'Change in Proportion Layers'!$A$8:$A$324,0))</f>
        <v>2809010</v>
      </c>
      <c r="H166" s="120">
        <f>SUM(D166:G166)</f>
        <v>3677614</v>
      </c>
      <c r="I166" s="120"/>
      <c r="J166" s="120">
        <f>ROUND(VLOOKUP(A166,'Contribution Allocation_Report'!$A$9:$D$311,4,FALSE)*'OPEB Amounts_Report'!$J$326,0)</f>
        <v>528082</v>
      </c>
      <c r="K166" s="120">
        <f>ROUND(VLOOKUP(A166,'Contribution Allocation_Report'!$A$9:$D$311,4,FALSE)*'OPEB Amounts_Report'!$K$326,0)</f>
        <v>2641059</v>
      </c>
      <c r="L166" s="130">
        <f>INDEX('Change in Proportion Layers'!$AD$8:$AD$324,MATCH('OPEB Amounts_Report'!A166,'Change in Proportion Layers'!$A$8:$A$324,0))</f>
        <v>149952</v>
      </c>
      <c r="M166" s="120">
        <f t="shared" si="6"/>
        <v>3319093</v>
      </c>
      <c r="N166" s="121"/>
      <c r="O166" s="121">
        <f>ROUND(VLOOKUP(A166,'Contribution Allocation_Report'!$A$9:$D$311,4,FALSE)*'OPEB Amounts_Report'!$O$326,0)</f>
        <v>-749518</v>
      </c>
      <c r="P166" s="121">
        <f>INDEX('Change in Proportion Layers'!$AA$8:$AA$324,MATCH('OPEB Amounts_Report'!A166,'Change in Proportion Layers'!$A$8:$A$324,0))</f>
        <v>1474351</v>
      </c>
      <c r="Q166" s="121">
        <f>+O166+P166</f>
        <v>724833</v>
      </c>
    </row>
    <row r="167" spans="1:17" ht="12" customHeight="1">
      <c r="A167" s="166">
        <v>13369</v>
      </c>
      <c r="B167" s="167" t="s">
        <v>154</v>
      </c>
      <c r="C167" s="122">
        <f>ROUND(VLOOKUP(A167,'Contribution Allocation_Report'!$A$9:$D$311,4,FALSE)*'OPEB Amounts_Report'!$C$326,0)</f>
        <v>333342</v>
      </c>
      <c r="D167" s="122">
        <f>ROUND(VLOOKUP(A167,'Contribution Allocation_Report'!$A$9:$D$311,4,FALSE)*'OPEB Amounts_Report'!$D$326,0)</f>
        <v>5544</v>
      </c>
      <c r="E167" s="122">
        <f>ROUND(VLOOKUP(A167,'Contribution Allocation_Report'!$A$9:$D$311,4,FALSE)*'OPEB Amounts_Report'!$E$326,0)</f>
        <v>4596</v>
      </c>
      <c r="F167" s="122">
        <f>ROUND(VLOOKUP(A167,'Contribution Allocation_Report'!$A$9:$D$311,4,FALSE)*'OPEB Amounts_Report'!$F$326,0)</f>
        <v>71127</v>
      </c>
      <c r="G167" s="122">
        <f>INDEX('Change in Proportion Layers'!$AC$8:$AC$324,MATCH('OPEB Amounts_Report'!A167,'Change in Proportion Layers'!$A$8:$A$324,0))</f>
        <v>95373</v>
      </c>
      <c r="H167" s="122">
        <f t="shared" si="7"/>
        <v>176640</v>
      </c>
      <c r="I167" s="122"/>
      <c r="J167" s="122">
        <f>ROUND(VLOOKUP(A167,'Contribution Allocation_Report'!$A$9:$D$311,4,FALSE)*'OPEB Amounts_Report'!$J$326,0)</f>
        <v>49408</v>
      </c>
      <c r="K167" s="122">
        <f>ROUND(VLOOKUP(A167,'Contribution Allocation_Report'!$A$9:$D$311,4,FALSE)*'OPEB Amounts_Report'!$K$326,0)</f>
        <v>247103</v>
      </c>
      <c r="L167" s="122">
        <f>INDEX('Change in Proportion Layers'!$AD$8:$AD$324,MATCH('OPEB Amounts_Report'!A167,'Change in Proportion Layers'!$A$8:$A$324,0))</f>
        <v>58308</v>
      </c>
      <c r="M167" s="122">
        <f t="shared" si="6"/>
        <v>354819</v>
      </c>
      <c r="N167" s="123"/>
      <c r="O167" s="123">
        <f>ROUND(VLOOKUP(A167,'Contribution Allocation_Report'!$A$9:$D$311,4,FALSE)*'OPEB Amounts_Report'!$O$326,0)</f>
        <v>-70126</v>
      </c>
      <c r="P167" s="123">
        <f>INDEX('Change in Proportion Layers'!$AA$8:$AA$324,MATCH('OPEB Amounts_Report'!A167,'Change in Proportion Layers'!$A$8:$A$324,0))</f>
        <v>13308</v>
      </c>
      <c r="Q167" s="123">
        <f t="shared" si="8"/>
        <v>-56818</v>
      </c>
    </row>
    <row r="168" spans="1:17" ht="12" customHeight="1">
      <c r="A168" s="164">
        <v>2425</v>
      </c>
      <c r="B168" s="168" t="s">
        <v>155</v>
      </c>
      <c r="C168" s="120">
        <f>ROUND(VLOOKUP(A168,'Contribution Allocation_Report'!$A$9:$D$311,4,FALSE)*'OPEB Amounts_Report'!$C$326,0)</f>
        <v>5835773</v>
      </c>
      <c r="D168" s="120">
        <f>ROUND(VLOOKUP(A168,'Contribution Allocation_Report'!$A$9:$D$311,4,FALSE)*'OPEB Amounts_Report'!$D$326,0)</f>
        <v>97066</v>
      </c>
      <c r="E168" s="120">
        <f>ROUND(VLOOKUP(A168,'Contribution Allocation_Report'!$A$9:$D$311,4,FALSE)*'OPEB Amounts_Report'!$E$326,0)</f>
        <v>80470</v>
      </c>
      <c r="F168" s="120">
        <f>ROUND(VLOOKUP(A168,'Contribution Allocation_Report'!$A$9:$D$311,4,FALSE)*'OPEB Amounts_Report'!$F$326,0)</f>
        <v>1245216</v>
      </c>
      <c r="G168" s="120">
        <f>INDEX('Change in Proportion Layers'!$AC$8:$AC$324,MATCH('OPEB Amounts_Report'!A168,'Change in Proportion Layers'!$A$8:$A$324,0))</f>
        <v>5135805</v>
      </c>
      <c r="H168" s="120">
        <f t="shared" si="7"/>
        <v>6558557</v>
      </c>
      <c r="I168" s="120"/>
      <c r="J168" s="120">
        <f>ROUND(VLOOKUP(A168,'Contribution Allocation_Report'!$A$9:$D$311,4,FALSE)*'OPEB Amounts_Report'!$J$326,0)</f>
        <v>864986</v>
      </c>
      <c r="K168" s="120">
        <f>ROUND(VLOOKUP(A168,'Contribution Allocation_Report'!$A$9:$D$311,4,FALSE)*'OPEB Amounts_Report'!$K$326,0)</f>
        <v>4325993</v>
      </c>
      <c r="L168" s="120">
        <f>INDEX('Change in Proportion Layers'!$AD$8:$AD$324,MATCH('OPEB Amounts_Report'!A168,'Change in Proportion Layers'!$A$8:$A$324,0))</f>
        <v>13375</v>
      </c>
      <c r="M168" s="120">
        <f t="shared" si="6"/>
        <v>5204354</v>
      </c>
      <c r="N168" s="121"/>
      <c r="O168" s="121">
        <f>ROUND(VLOOKUP(A168,'Contribution Allocation_Report'!$A$9:$D$311,4,FALSE)*'OPEB Amounts_Report'!$O$326,0)</f>
        <v>-1227692</v>
      </c>
      <c r="P168" s="121">
        <f>INDEX('Change in Proportion Layers'!$AA$8:$AA$324,MATCH('OPEB Amounts_Report'!A168,'Change in Proportion Layers'!$A$8:$A$324,0))</f>
        <v>1393841</v>
      </c>
      <c r="Q168" s="121">
        <f t="shared" si="8"/>
        <v>166149</v>
      </c>
    </row>
    <row r="169" spans="1:17" ht="12" customHeight="1">
      <c r="A169" s="166">
        <v>1306</v>
      </c>
      <c r="B169" s="167" t="s">
        <v>156</v>
      </c>
      <c r="C169" s="122">
        <f>ROUND(VLOOKUP(A169,'Contribution Allocation_Report'!$A$9:$D$311,4,FALSE)*'OPEB Amounts_Report'!$C$326,0)</f>
        <v>1192377</v>
      </c>
      <c r="D169" s="122">
        <f>ROUND(VLOOKUP(A169,'Contribution Allocation_Report'!$A$9:$D$311,4,FALSE)*'OPEB Amounts_Report'!$D$326,0)</f>
        <v>19833</v>
      </c>
      <c r="E169" s="122">
        <f>ROUND(VLOOKUP(A169,'Contribution Allocation_Report'!$A$9:$D$311,4,FALSE)*'OPEB Amounts_Report'!$E$326,0)</f>
        <v>16442</v>
      </c>
      <c r="F169" s="122">
        <f>ROUND(VLOOKUP(A169,'Contribution Allocation_Report'!$A$9:$D$311,4,FALSE)*'OPEB Amounts_Report'!$F$326,0)</f>
        <v>254425</v>
      </c>
      <c r="G169" s="122">
        <f>INDEX('Change in Proportion Layers'!$AC$8:$AC$324,MATCH('OPEB Amounts_Report'!A169,'Change in Proportion Layers'!$A$8:$A$324,0))</f>
        <v>334761</v>
      </c>
      <c r="H169" s="122">
        <f t="shared" si="7"/>
        <v>625461</v>
      </c>
      <c r="I169" s="122"/>
      <c r="J169" s="122">
        <f>ROUND(VLOOKUP(A169,'Contribution Allocation_Report'!$A$9:$D$311,4,FALSE)*'OPEB Amounts_Report'!$J$326,0)</f>
        <v>176736</v>
      </c>
      <c r="K169" s="122">
        <f>ROUND(VLOOKUP(A169,'Contribution Allocation_Report'!$A$9:$D$311,4,FALSE)*'OPEB Amounts_Report'!$K$326,0)</f>
        <v>883895</v>
      </c>
      <c r="L169" s="122">
        <f>INDEX('Change in Proportion Layers'!$AD$8:$AD$324,MATCH('OPEB Amounts_Report'!A169,'Change in Proportion Layers'!$A$8:$A$324,0))</f>
        <v>0</v>
      </c>
      <c r="M169" s="122">
        <f t="shared" si="6"/>
        <v>1060631</v>
      </c>
      <c r="N169" s="123"/>
      <c r="O169" s="123">
        <f>ROUND(VLOOKUP(A169,'Contribution Allocation_Report'!$A$9:$D$311,4,FALSE)*'OPEB Amounts_Report'!$O$326,0)</f>
        <v>-250844</v>
      </c>
      <c r="P169" s="123">
        <f>INDEX('Change in Proportion Layers'!$AA$8:$AA$324,MATCH('OPEB Amounts_Report'!A169,'Change in Proportion Layers'!$A$8:$A$324,0))</f>
        <v>125135</v>
      </c>
      <c r="Q169" s="123">
        <f t="shared" si="8"/>
        <v>-125709</v>
      </c>
    </row>
    <row r="170" spans="1:17" ht="12" customHeight="1">
      <c r="A170" s="164">
        <v>2351</v>
      </c>
      <c r="B170" s="168" t="s">
        <v>157</v>
      </c>
      <c r="C170" s="120">
        <f>ROUND(VLOOKUP(A170,'Contribution Allocation_Report'!$A$9:$D$311,4,FALSE)*'OPEB Amounts_Report'!$C$326,0)</f>
        <v>979637</v>
      </c>
      <c r="D170" s="120">
        <f>ROUND(VLOOKUP(A170,'Contribution Allocation_Report'!$A$9:$D$311,4,FALSE)*'OPEB Amounts_Report'!$D$326,0)</f>
        <v>16294</v>
      </c>
      <c r="E170" s="120">
        <f>ROUND(VLOOKUP(A170,'Contribution Allocation_Report'!$A$9:$D$311,4,FALSE)*'OPEB Amounts_Report'!$E$326,0)</f>
        <v>13508</v>
      </c>
      <c r="F170" s="120">
        <f>ROUND(VLOOKUP(A170,'Contribution Allocation_Report'!$A$9:$D$311,4,FALSE)*'OPEB Amounts_Report'!$F$326,0)</f>
        <v>209031</v>
      </c>
      <c r="G170" s="120">
        <f>INDEX('Change in Proportion Layers'!$AC$8:$AC$324,MATCH('OPEB Amounts_Report'!A170,'Change in Proportion Layers'!$A$8:$A$324,0))</f>
        <v>249710</v>
      </c>
      <c r="H170" s="120">
        <f t="shared" si="7"/>
        <v>488543</v>
      </c>
      <c r="I170" s="120"/>
      <c r="J170" s="120">
        <f>ROUND(VLOOKUP(A170,'Contribution Allocation_Report'!$A$9:$D$311,4,FALSE)*'OPEB Amounts_Report'!$J$326,0)</f>
        <v>145203</v>
      </c>
      <c r="K170" s="120">
        <f>ROUND(VLOOKUP(A170,'Contribution Allocation_Report'!$A$9:$D$311,4,FALSE)*'OPEB Amounts_Report'!$K$326,0)</f>
        <v>726194</v>
      </c>
      <c r="L170" s="120">
        <f>INDEX('Change in Proportion Layers'!$AD$8:$AD$324,MATCH('OPEB Amounts_Report'!A170,'Change in Proportion Layers'!$A$8:$A$324,0))</f>
        <v>26863</v>
      </c>
      <c r="M170" s="120">
        <f t="shared" si="6"/>
        <v>898260</v>
      </c>
      <c r="N170" s="121"/>
      <c r="O170" s="121">
        <f>ROUND(VLOOKUP(A170,'Contribution Allocation_Report'!$A$9:$D$311,4,FALSE)*'OPEB Amounts_Report'!$O$326,0)</f>
        <v>-206090</v>
      </c>
      <c r="P170" s="121">
        <f>INDEX('Change in Proportion Layers'!$AA$8:$AA$324,MATCH('OPEB Amounts_Report'!A170,'Change in Proportion Layers'!$A$8:$A$324,0))</f>
        <v>47059</v>
      </c>
      <c r="Q170" s="121">
        <f t="shared" si="8"/>
        <v>-159031</v>
      </c>
    </row>
    <row r="171" spans="1:17" ht="12" customHeight="1">
      <c r="A171" s="166">
        <v>2334</v>
      </c>
      <c r="B171" s="167" t="s">
        <v>158</v>
      </c>
      <c r="C171" s="122">
        <f>ROUND(VLOOKUP(A171,'Contribution Allocation_Report'!$A$9:$D$311,4,FALSE)*'OPEB Amounts_Report'!$C$326,0)</f>
        <v>709350</v>
      </c>
      <c r="D171" s="122">
        <f>ROUND(VLOOKUP(A171,'Contribution Allocation_Report'!$A$9:$D$311,4,FALSE)*'OPEB Amounts_Report'!$D$326,0)</f>
        <v>11799</v>
      </c>
      <c r="E171" s="122">
        <f>ROUND(VLOOKUP(A171,'Contribution Allocation_Report'!$A$9:$D$311,4,FALSE)*'OPEB Amounts_Report'!$E$326,0)</f>
        <v>9781</v>
      </c>
      <c r="F171" s="122">
        <f>ROUND(VLOOKUP(A171,'Contribution Allocation_Report'!$A$9:$D$311,4,FALSE)*'OPEB Amounts_Report'!$F$326,0)</f>
        <v>151359</v>
      </c>
      <c r="G171" s="122">
        <f>INDEX('Change in Proportion Layers'!$AC$8:$AC$324,MATCH('OPEB Amounts_Report'!A171,'Change in Proportion Layers'!$A$8:$A$324,0))</f>
        <v>186513</v>
      </c>
      <c r="H171" s="122">
        <f t="shared" si="7"/>
        <v>359452</v>
      </c>
      <c r="I171" s="122"/>
      <c r="J171" s="122">
        <f>ROUND(VLOOKUP(A171,'Contribution Allocation_Report'!$A$9:$D$311,4,FALSE)*'OPEB Amounts_Report'!$J$326,0)</f>
        <v>105141</v>
      </c>
      <c r="K171" s="122">
        <f>ROUND(VLOOKUP(A171,'Contribution Allocation_Report'!$A$9:$D$311,4,FALSE)*'OPEB Amounts_Report'!$K$326,0)</f>
        <v>525833</v>
      </c>
      <c r="L171" s="131">
        <f>INDEX('Change in Proportion Layers'!$AD$8:$AD$324,MATCH('OPEB Amounts_Report'!A171,'Change in Proportion Layers'!$A$8:$A$324,0))</f>
        <v>35135</v>
      </c>
      <c r="M171" s="122">
        <f t="shared" si="6"/>
        <v>666109</v>
      </c>
      <c r="N171" s="123"/>
      <c r="O171" s="123">
        <f>ROUND(VLOOKUP(A171,'Contribution Allocation_Report'!$A$9:$D$311,4,FALSE)*'OPEB Amounts_Report'!$O$326,0)</f>
        <v>-149229</v>
      </c>
      <c r="P171" s="123">
        <f>INDEX('Change in Proportion Layers'!$AA$8:$AA$324,MATCH('OPEB Amounts_Report'!A171,'Change in Proportion Layers'!$A$8:$A$324,0))</f>
        <v>45162</v>
      </c>
      <c r="Q171" s="123">
        <f t="shared" si="8"/>
        <v>-104067</v>
      </c>
    </row>
    <row r="172" spans="1:17" ht="12" customHeight="1">
      <c r="A172" s="164">
        <v>30089</v>
      </c>
      <c r="B172" s="168" t="s">
        <v>159</v>
      </c>
      <c r="C172" s="120">
        <f>ROUND(VLOOKUP(A172,'Contribution Allocation_Report'!$A$9:$D$311,4,FALSE)*'OPEB Amounts_Report'!$C$326,0)</f>
        <v>2051639</v>
      </c>
      <c r="D172" s="120">
        <f>ROUND(VLOOKUP(A172,'Contribution Allocation_Report'!$A$9:$D$311,4,FALSE)*'OPEB Amounts_Report'!$D$326,0)</f>
        <v>34125</v>
      </c>
      <c r="E172" s="120">
        <f>ROUND(VLOOKUP(A172,'Contribution Allocation_Report'!$A$9:$D$311,4,FALSE)*'OPEB Amounts_Report'!$E$326,0)</f>
        <v>28290</v>
      </c>
      <c r="F172" s="120">
        <f>ROUND(VLOOKUP(A172,'Contribution Allocation_Report'!$A$9:$D$311,4,FALSE)*'OPEB Amounts_Report'!$F$326,0)</f>
        <v>437771</v>
      </c>
      <c r="G172" s="120">
        <f>INDEX('Change in Proportion Layers'!$AC$8:$AC$324,MATCH('OPEB Amounts_Report'!A172,'Change in Proportion Layers'!$A$8:$A$324,0))</f>
        <v>283815</v>
      </c>
      <c r="H172" s="120">
        <f t="shared" si="7"/>
        <v>784001</v>
      </c>
      <c r="I172" s="120"/>
      <c r="J172" s="120">
        <f>ROUND(VLOOKUP(A172,'Contribution Allocation_Report'!$A$9:$D$311,4,FALSE)*'OPEB Amounts_Report'!$J$326,0)</f>
        <v>304096</v>
      </c>
      <c r="K172" s="120">
        <f>ROUND(VLOOKUP(A172,'Contribution Allocation_Report'!$A$9:$D$311,4,FALSE)*'OPEB Amounts_Report'!$K$326,0)</f>
        <v>1520857</v>
      </c>
      <c r="L172" s="130">
        <f>INDEX('Change in Proportion Layers'!$AD$8:$AD$324,MATCH('OPEB Amounts_Report'!A172,'Change in Proportion Layers'!$A$8:$A$324,0))</f>
        <v>217319</v>
      </c>
      <c r="M172" s="120">
        <f t="shared" si="6"/>
        <v>2042272</v>
      </c>
      <c r="N172" s="121"/>
      <c r="O172" s="121">
        <f>ROUND(VLOOKUP(A172,'Contribution Allocation_Report'!$A$9:$D$311,4,FALSE)*'OPEB Amounts_Report'!$O$326,0)</f>
        <v>-431610</v>
      </c>
      <c r="P172" s="121">
        <f>INDEX('Change in Proportion Layers'!$AA$8:$AA$324,MATCH('OPEB Amounts_Report'!A172,'Change in Proportion Layers'!$A$8:$A$324,0))</f>
        <v>2602</v>
      </c>
      <c r="Q172" s="121">
        <f t="shared" si="8"/>
        <v>-429008</v>
      </c>
    </row>
    <row r="173" spans="1:17" ht="12" customHeight="1">
      <c r="A173" s="166">
        <v>9324</v>
      </c>
      <c r="B173" s="167" t="s">
        <v>160</v>
      </c>
      <c r="C173" s="122">
        <f>ROUND(VLOOKUP(A173,'Contribution Allocation_Report'!$A$9:$D$311,4,FALSE)*'OPEB Amounts_Report'!$C$326,0)</f>
        <v>246144</v>
      </c>
      <c r="D173" s="122">
        <f>ROUND(VLOOKUP(A173,'Contribution Allocation_Report'!$A$9:$D$311,4,FALSE)*'OPEB Amounts_Report'!$D$326,0)</f>
        <v>4094</v>
      </c>
      <c r="E173" s="122">
        <f>ROUND(VLOOKUP(A173,'Contribution Allocation_Report'!$A$9:$D$311,4,FALSE)*'OPEB Amounts_Report'!$E$326,0)</f>
        <v>3394</v>
      </c>
      <c r="F173" s="122">
        <f>ROUND(VLOOKUP(A173,'Contribution Allocation_Report'!$A$9:$D$311,4,FALSE)*'OPEB Amounts_Report'!$F$326,0)</f>
        <v>52521</v>
      </c>
      <c r="G173" s="122">
        <f>INDEX('Change in Proportion Layers'!$AC$8:$AC$324,MATCH('OPEB Amounts_Report'!A173,'Change in Proportion Layers'!$A$8:$A$324,0))</f>
        <v>75029</v>
      </c>
      <c r="H173" s="122">
        <f t="shared" si="7"/>
        <v>135038</v>
      </c>
      <c r="I173" s="122"/>
      <c r="J173" s="122">
        <f>ROUND(VLOOKUP(A173,'Contribution Allocation_Report'!$A$9:$D$311,4,FALSE)*'OPEB Amounts_Report'!$J$326,0)</f>
        <v>36484</v>
      </c>
      <c r="K173" s="122">
        <f>ROUND(VLOOKUP(A173,'Contribution Allocation_Report'!$A$9:$D$311,4,FALSE)*'OPEB Amounts_Report'!$K$326,0)</f>
        <v>182464</v>
      </c>
      <c r="L173" s="122">
        <f>INDEX('Change in Proportion Layers'!$AD$8:$AD$324,MATCH('OPEB Amounts_Report'!A173,'Change in Proportion Layers'!$A$8:$A$324,0))</f>
        <v>52323</v>
      </c>
      <c r="M173" s="122">
        <f t="shared" si="6"/>
        <v>271271</v>
      </c>
      <c r="N173" s="123"/>
      <c r="O173" s="123">
        <f>ROUND(VLOOKUP(A173,'Contribution Allocation_Report'!$A$9:$D$311,4,FALSE)*'OPEB Amounts_Report'!$O$326,0)</f>
        <v>-51782</v>
      </c>
      <c r="P173" s="123">
        <f>INDEX('Change in Proportion Layers'!$AA$8:$AA$324,MATCH('OPEB Amounts_Report'!A173,'Change in Proportion Layers'!$A$8:$A$324,0))</f>
        <v>8596</v>
      </c>
      <c r="Q173" s="123">
        <f t="shared" si="8"/>
        <v>-43186</v>
      </c>
    </row>
    <row r="174" spans="1:17" ht="12" customHeight="1">
      <c r="A174" s="164">
        <v>22066</v>
      </c>
      <c r="B174" s="168" t="s">
        <v>161</v>
      </c>
      <c r="C174" s="120">
        <f>ROUND(VLOOKUP(A174,'Contribution Allocation_Report'!$A$9:$D$311,4,FALSE)*'OPEB Amounts_Report'!$C$326,0)</f>
        <v>7188893</v>
      </c>
      <c r="D174" s="120">
        <f>ROUND(VLOOKUP(A174,'Contribution Allocation_Report'!$A$9:$D$311,4,FALSE)*'OPEB Amounts_Report'!$D$326,0)</f>
        <v>119572</v>
      </c>
      <c r="E174" s="120">
        <f>ROUND(VLOOKUP(A174,'Contribution Allocation_Report'!$A$9:$D$311,4,FALSE)*'OPEB Amounts_Report'!$E$326,0)</f>
        <v>99128</v>
      </c>
      <c r="F174" s="120">
        <f>ROUND(VLOOKUP(A174,'Contribution Allocation_Report'!$A$9:$D$311,4,FALSE)*'OPEB Amounts_Report'!$F$326,0)</f>
        <v>1533939</v>
      </c>
      <c r="G174" s="120">
        <f>INDEX('Change in Proportion Layers'!$AC$8:$AC$324,MATCH('OPEB Amounts_Report'!A174,'Change in Proportion Layers'!$A$8:$A$324,0))</f>
        <v>498870</v>
      </c>
      <c r="H174" s="120">
        <f t="shared" si="7"/>
        <v>2251509</v>
      </c>
      <c r="I174" s="120"/>
      <c r="J174" s="120">
        <f>ROUND(VLOOKUP(A174,'Contribution Allocation_Report'!$A$9:$D$311,4,FALSE)*'OPEB Amounts_Report'!$J$326,0)</f>
        <v>1065547</v>
      </c>
      <c r="K174" s="120">
        <f>ROUND(VLOOKUP(A174,'Contribution Allocation_Report'!$A$9:$D$311,4,FALSE)*'OPEB Amounts_Report'!$K$326,0)</f>
        <v>5329045</v>
      </c>
      <c r="L174" s="120">
        <f>INDEX('Change in Proportion Layers'!$AD$8:$AD$324,MATCH('OPEB Amounts_Report'!A174,'Change in Proportion Layers'!$A$8:$A$324,0))</f>
        <v>435737</v>
      </c>
      <c r="M174" s="120">
        <f t="shared" si="6"/>
        <v>6830329</v>
      </c>
      <c r="N174" s="121"/>
      <c r="O174" s="121">
        <f>ROUND(VLOOKUP(A174,'Contribution Allocation_Report'!$A$9:$D$311,4,FALSE)*'OPEB Amounts_Report'!$O$326,0)</f>
        <v>-1512353</v>
      </c>
      <c r="P174" s="121">
        <f>INDEX('Change in Proportion Layers'!$AA$8:$AA$324,MATCH('OPEB Amounts_Report'!A174,'Change in Proportion Layers'!$A$8:$A$324,0))</f>
        <v>-77040</v>
      </c>
      <c r="Q174" s="121">
        <f t="shared" si="8"/>
        <v>-1589393</v>
      </c>
    </row>
    <row r="175" spans="1:17" ht="12" customHeight="1">
      <c r="A175" s="166">
        <v>16356</v>
      </c>
      <c r="B175" s="167" t="s">
        <v>162</v>
      </c>
      <c r="C175" s="122">
        <f>ROUND(VLOOKUP(A175,'Contribution Allocation_Report'!$A$9:$D$311,4,FALSE)*'OPEB Amounts_Report'!$C$326,0)</f>
        <v>444229</v>
      </c>
      <c r="D175" s="122">
        <f>ROUND(VLOOKUP(A175,'Contribution Allocation_Report'!$A$9:$D$311,4,FALSE)*'OPEB Amounts_Report'!$D$326,0)</f>
        <v>7389</v>
      </c>
      <c r="E175" s="122">
        <f>ROUND(VLOOKUP(A175,'Contribution Allocation_Report'!$A$9:$D$311,4,FALSE)*'OPEB Amounts_Report'!$E$326,0)</f>
        <v>6125</v>
      </c>
      <c r="F175" s="122">
        <f>ROUND(VLOOKUP(A175,'Contribution Allocation_Report'!$A$9:$D$311,4,FALSE)*'OPEB Amounts_Report'!$F$326,0)</f>
        <v>94788</v>
      </c>
      <c r="G175" s="122">
        <f>INDEX('Change in Proportion Layers'!$AC$8:$AC$324,MATCH('OPEB Amounts_Report'!A175,'Change in Proportion Layers'!$A$8:$A$324,0))</f>
        <v>71402</v>
      </c>
      <c r="H175" s="122">
        <f t="shared" si="7"/>
        <v>179704</v>
      </c>
      <c r="I175" s="122"/>
      <c r="J175" s="122">
        <f>ROUND(VLOOKUP(A175,'Contribution Allocation_Report'!$A$9:$D$311,4,FALSE)*'OPEB Amounts_Report'!$J$326,0)</f>
        <v>65844</v>
      </c>
      <c r="K175" s="122">
        <f>ROUND(VLOOKUP(A175,'Contribution Allocation_Report'!$A$9:$D$311,4,FALSE)*'OPEB Amounts_Report'!$K$326,0)</f>
        <v>329302</v>
      </c>
      <c r="L175" s="131">
        <f>INDEX('Change in Proportion Layers'!$AD$8:$AD$324,MATCH('OPEB Amounts_Report'!A175,'Change in Proportion Layers'!$A$8:$A$324,0))</f>
        <v>38218</v>
      </c>
      <c r="M175" s="122">
        <f t="shared" si="6"/>
        <v>433364</v>
      </c>
      <c r="N175" s="123"/>
      <c r="O175" s="123">
        <f>ROUND(VLOOKUP(A175,'Contribution Allocation_Report'!$A$9:$D$311,4,FALSE)*'OPEB Amounts_Report'!$O$326,0)</f>
        <v>-93454</v>
      </c>
      <c r="P175" s="123">
        <f>INDEX('Change in Proportion Layers'!$AA$8:$AA$324,MATCH('OPEB Amounts_Report'!A175,'Change in Proportion Layers'!$A$8:$A$324,0))</f>
        <v>10200</v>
      </c>
      <c r="Q175" s="123">
        <f t="shared" si="8"/>
        <v>-83254</v>
      </c>
    </row>
    <row r="176" spans="1:17" ht="12" customHeight="1">
      <c r="A176" s="164">
        <v>31091</v>
      </c>
      <c r="B176" s="168" t="s">
        <v>163</v>
      </c>
      <c r="C176" s="120">
        <f>ROUND(VLOOKUP(A176,'Contribution Allocation_Report'!$A$9:$D$311,4,FALSE)*'OPEB Amounts_Report'!$C$326,0)</f>
        <v>417400</v>
      </c>
      <c r="D176" s="120">
        <f>ROUND(VLOOKUP(A176,'Contribution Allocation_Report'!$A$9:$D$311,4,FALSE)*'OPEB Amounts_Report'!$D$326,0)</f>
        <v>6943</v>
      </c>
      <c r="E176" s="120">
        <f>ROUND(VLOOKUP(A176,'Contribution Allocation_Report'!$A$9:$D$311,4,FALSE)*'OPEB Amounts_Report'!$E$326,0)</f>
        <v>5756</v>
      </c>
      <c r="F176" s="120">
        <f>ROUND(VLOOKUP(A176,'Contribution Allocation_Report'!$A$9:$D$311,4,FALSE)*'OPEB Amounts_Report'!$F$326,0)</f>
        <v>89063</v>
      </c>
      <c r="G176" s="120">
        <f>INDEX('Change in Proportion Layers'!$AC$8:$AC$324,MATCH('OPEB Amounts_Report'!A176,'Change in Proportion Layers'!$A$8:$A$324,0))</f>
        <v>148813</v>
      </c>
      <c r="H176" s="120">
        <f t="shared" si="7"/>
        <v>250575</v>
      </c>
      <c r="I176" s="120"/>
      <c r="J176" s="120">
        <f>ROUND(VLOOKUP(A176,'Contribution Allocation_Report'!$A$9:$D$311,4,FALSE)*'OPEB Amounts_Report'!$J$326,0)</f>
        <v>61868</v>
      </c>
      <c r="K176" s="120">
        <f>ROUND(VLOOKUP(A176,'Contribution Allocation_Report'!$A$9:$D$311,4,FALSE)*'OPEB Amounts_Report'!$K$326,0)</f>
        <v>309414</v>
      </c>
      <c r="L176" s="130">
        <f>INDEX('Change in Proportion Layers'!$AD$8:$AD$324,MATCH('OPEB Amounts_Report'!A176,'Change in Proportion Layers'!$A$8:$A$324,0))</f>
        <v>76389</v>
      </c>
      <c r="M176" s="120">
        <f t="shared" si="6"/>
        <v>447671</v>
      </c>
      <c r="N176" s="121"/>
      <c r="O176" s="121">
        <f>ROUND(VLOOKUP(A176,'Contribution Allocation_Report'!$A$9:$D$311,4,FALSE)*'OPEB Amounts_Report'!$O$326,0)</f>
        <v>-87810</v>
      </c>
      <c r="P176" s="121">
        <f>INDEX('Change in Proportion Layers'!$AA$8:$AA$324,MATCH('OPEB Amounts_Report'!A176,'Change in Proportion Layers'!$A$8:$A$324,0))</f>
        <v>7790</v>
      </c>
      <c r="Q176" s="121">
        <f t="shared" si="8"/>
        <v>-80020</v>
      </c>
    </row>
    <row r="177" spans="1:17" ht="12" customHeight="1">
      <c r="A177" s="166">
        <v>2342</v>
      </c>
      <c r="B177" s="167" t="s">
        <v>164</v>
      </c>
      <c r="C177" s="122">
        <f>ROUND(VLOOKUP(A177,'Contribution Allocation_Report'!$A$9:$D$311,4,FALSE)*'OPEB Amounts_Report'!$C$326,0)</f>
        <v>741799</v>
      </c>
      <c r="D177" s="122">
        <f>ROUND(VLOOKUP(A177,'Contribution Allocation_Report'!$A$9:$D$311,4,FALSE)*'OPEB Amounts_Report'!$D$326,0)</f>
        <v>12338</v>
      </c>
      <c r="E177" s="122">
        <f>ROUND(VLOOKUP(A177,'Contribution Allocation_Report'!$A$9:$D$311,4,FALSE)*'OPEB Amounts_Report'!$E$326,0)</f>
        <v>10229</v>
      </c>
      <c r="F177" s="122">
        <f>ROUND(VLOOKUP(A177,'Contribution Allocation_Report'!$A$9:$D$311,4,FALSE)*'OPEB Amounts_Report'!$F$326,0)</f>
        <v>158282</v>
      </c>
      <c r="G177" s="122">
        <f>INDEX('Change in Proportion Layers'!$AC$8:$AC$324,MATCH('OPEB Amounts_Report'!A177,'Change in Proportion Layers'!$A$8:$A$324,0))</f>
        <v>255363</v>
      </c>
      <c r="H177" s="122">
        <f t="shared" si="7"/>
        <v>436212</v>
      </c>
      <c r="I177" s="122"/>
      <c r="J177" s="122">
        <f>ROUND(VLOOKUP(A177,'Contribution Allocation_Report'!$A$9:$D$311,4,FALSE)*'OPEB Amounts_Report'!$J$326,0)</f>
        <v>109950</v>
      </c>
      <c r="K177" s="122">
        <f>ROUND(VLOOKUP(A177,'Contribution Allocation_Report'!$A$9:$D$311,4,FALSE)*'OPEB Amounts_Report'!$K$326,0)</f>
        <v>549887</v>
      </c>
      <c r="L177" s="122">
        <f>INDEX('Change in Proportion Layers'!$AD$8:$AD$324,MATCH('OPEB Amounts_Report'!A177,'Change in Proportion Layers'!$A$8:$A$324,0))</f>
        <v>0</v>
      </c>
      <c r="M177" s="122">
        <f t="shared" si="6"/>
        <v>659837</v>
      </c>
      <c r="N177" s="123"/>
      <c r="O177" s="123">
        <f>ROUND(VLOOKUP(A177,'Contribution Allocation_Report'!$A$9:$D$311,4,FALSE)*'OPEB Amounts_Report'!$O$326,0)</f>
        <v>-156055</v>
      </c>
      <c r="P177" s="123">
        <f>INDEX('Change in Proportion Layers'!$AA$8:$AA$324,MATCH('OPEB Amounts_Report'!A177,'Change in Proportion Layers'!$A$8:$A$324,0))</f>
        <v>64353</v>
      </c>
      <c r="Q177" s="123">
        <f t="shared" si="8"/>
        <v>-91702</v>
      </c>
    </row>
    <row r="178" spans="1:17" ht="12" customHeight="1">
      <c r="A178" s="164">
        <v>22067</v>
      </c>
      <c r="B178" s="168" t="s">
        <v>165</v>
      </c>
      <c r="C178" s="120">
        <f>ROUND(VLOOKUP(A178,'Contribution Allocation_Report'!$A$9:$D$311,4,FALSE)*'OPEB Amounts_Report'!$C$326,0)</f>
        <v>1071705</v>
      </c>
      <c r="D178" s="120">
        <f>ROUND(VLOOKUP(A178,'Contribution Allocation_Report'!$A$9:$D$311,4,FALSE)*'OPEB Amounts_Report'!$D$326,0)</f>
        <v>17826</v>
      </c>
      <c r="E178" s="120">
        <f>ROUND(VLOOKUP(A178,'Contribution Allocation_Report'!$A$9:$D$311,4,FALSE)*'OPEB Amounts_Report'!$E$326,0)</f>
        <v>14778</v>
      </c>
      <c r="F178" s="120">
        <f>ROUND(VLOOKUP(A178,'Contribution Allocation_Report'!$A$9:$D$311,4,FALSE)*'OPEB Amounts_Report'!$F$326,0)</f>
        <v>228677</v>
      </c>
      <c r="G178" s="120">
        <f>INDEX('Change in Proportion Layers'!$AC$8:$AC$324,MATCH('OPEB Amounts_Report'!A178,'Change in Proportion Layers'!$A$8:$A$324,0))</f>
        <v>373544</v>
      </c>
      <c r="H178" s="120">
        <f t="shared" si="7"/>
        <v>634825</v>
      </c>
      <c r="I178" s="120"/>
      <c r="J178" s="120">
        <f>ROUND(VLOOKUP(A178,'Contribution Allocation_Report'!$A$9:$D$311,4,FALSE)*'OPEB Amounts_Report'!$J$326,0)</f>
        <v>158849</v>
      </c>
      <c r="K178" s="120">
        <f>ROUND(VLOOKUP(A178,'Contribution Allocation_Report'!$A$9:$D$311,4,FALSE)*'OPEB Amounts_Report'!$K$326,0)</f>
        <v>794443</v>
      </c>
      <c r="L178" s="120">
        <f>INDEX('Change in Proportion Layers'!$AD$8:$AD$324,MATCH('OPEB Amounts_Report'!A178,'Change in Proportion Layers'!$A$8:$A$324,0))</f>
        <v>258946</v>
      </c>
      <c r="M178" s="120">
        <f t="shared" si="6"/>
        <v>1212238</v>
      </c>
      <c r="N178" s="121"/>
      <c r="O178" s="121">
        <f>ROUND(VLOOKUP(A178,'Contribution Allocation_Report'!$A$9:$D$311,4,FALSE)*'OPEB Amounts_Report'!$O$326,0)</f>
        <v>-225458</v>
      </c>
      <c r="P178" s="121">
        <f>INDEX('Change in Proportion Layers'!$AA$8:$AA$324,MATCH('OPEB Amounts_Report'!A178,'Change in Proportion Layers'!$A$8:$A$324,0))</f>
        <v>32573</v>
      </c>
      <c r="Q178" s="121">
        <f t="shared" si="8"/>
        <v>-192885</v>
      </c>
    </row>
    <row r="179" spans="1:17" ht="12" customHeight="1">
      <c r="A179" s="166">
        <v>32112</v>
      </c>
      <c r="B179" s="167" t="s">
        <v>166</v>
      </c>
      <c r="C179" s="122">
        <f>ROUND(VLOOKUP(A179,'Contribution Allocation_Report'!$A$9:$D$311,4,FALSE)*'OPEB Amounts_Report'!$C$326,0)</f>
        <v>565355</v>
      </c>
      <c r="D179" s="122">
        <f>ROUND(VLOOKUP(A179,'Contribution Allocation_Report'!$A$9:$D$311,4,FALSE)*'OPEB Amounts_Report'!$D$326,0)</f>
        <v>9404</v>
      </c>
      <c r="E179" s="122">
        <f>ROUND(VLOOKUP(A179,'Contribution Allocation_Report'!$A$9:$D$311,4,FALSE)*'OPEB Amounts_Report'!$E$326,0)</f>
        <v>7796</v>
      </c>
      <c r="F179" s="122">
        <f>ROUND(VLOOKUP(A179,'Contribution Allocation_Report'!$A$9:$D$311,4,FALSE)*'OPEB Amounts_Report'!$F$326,0)</f>
        <v>120633</v>
      </c>
      <c r="G179" s="122">
        <f>INDEX('Change in Proportion Layers'!$AC$8:$AC$324,MATCH('OPEB Amounts_Report'!A179,'Change in Proportion Layers'!$A$8:$A$324,0))</f>
        <v>40936</v>
      </c>
      <c r="H179" s="122">
        <f t="shared" si="7"/>
        <v>178769</v>
      </c>
      <c r="I179" s="122"/>
      <c r="J179" s="122">
        <f>ROUND(VLOOKUP(A179,'Contribution Allocation_Report'!$A$9:$D$311,4,FALSE)*'OPEB Amounts_Report'!$J$326,0)</f>
        <v>83798</v>
      </c>
      <c r="K179" s="122">
        <f>ROUND(VLOOKUP(A179,'Contribution Allocation_Report'!$A$9:$D$311,4,FALSE)*'OPEB Amounts_Report'!$K$326,0)</f>
        <v>419091</v>
      </c>
      <c r="L179" s="122">
        <f>INDEX('Change in Proportion Layers'!$AD$8:$AD$324,MATCH('OPEB Amounts_Report'!A179,'Change in Proportion Layers'!$A$8:$A$324,0))</f>
        <v>105070</v>
      </c>
      <c r="M179" s="122">
        <f t="shared" si="6"/>
        <v>607959</v>
      </c>
      <c r="N179" s="123"/>
      <c r="O179" s="123">
        <f>ROUND(VLOOKUP(A179,'Contribution Allocation_Report'!$A$9:$D$311,4,FALSE)*'OPEB Amounts_Report'!$O$326,0)</f>
        <v>-118936</v>
      </c>
      <c r="P179" s="123">
        <f>INDEX('Change in Proportion Layers'!$AA$8:$AA$324,MATCH('OPEB Amounts_Report'!A179,'Change in Proportion Layers'!$A$8:$A$324,0))</f>
        <v>-30182</v>
      </c>
      <c r="Q179" s="123">
        <f t="shared" si="8"/>
        <v>-149118</v>
      </c>
    </row>
    <row r="180" spans="1:17" ht="12" customHeight="1">
      <c r="A180" s="164">
        <v>2354</v>
      </c>
      <c r="B180" s="168" t="s">
        <v>167</v>
      </c>
      <c r="C180" s="120">
        <f>ROUND(VLOOKUP(A180,'Contribution Allocation_Report'!$A$9:$D$311,4,FALSE)*'OPEB Amounts_Report'!$C$326,0)</f>
        <v>1808043</v>
      </c>
      <c r="D180" s="120">
        <f>ROUND(VLOOKUP(A180,'Contribution Allocation_Report'!$A$9:$D$311,4,FALSE)*'OPEB Amounts_Report'!$D$326,0)</f>
        <v>30073</v>
      </c>
      <c r="E180" s="120">
        <f>ROUND(VLOOKUP(A180,'Contribution Allocation_Report'!$A$9:$D$311,4,FALSE)*'OPEB Amounts_Report'!$E$326,0)</f>
        <v>24931</v>
      </c>
      <c r="F180" s="120">
        <f>ROUND(VLOOKUP(A180,'Contribution Allocation_Report'!$A$9:$D$311,4,FALSE)*'OPEB Amounts_Report'!$F$326,0)</f>
        <v>385794</v>
      </c>
      <c r="G180" s="120">
        <f>INDEX('Change in Proportion Layers'!$AC$8:$AC$324,MATCH('OPEB Amounts_Report'!A180,'Change in Proportion Layers'!$A$8:$A$324,0))</f>
        <v>413717</v>
      </c>
      <c r="H180" s="120">
        <f t="shared" si="7"/>
        <v>854515</v>
      </c>
      <c r="I180" s="120"/>
      <c r="J180" s="120">
        <f>ROUND(VLOOKUP(A180,'Contribution Allocation_Report'!$A$9:$D$311,4,FALSE)*'OPEB Amounts_Report'!$J$326,0)</f>
        <v>267990</v>
      </c>
      <c r="K180" s="120">
        <f>ROUND(VLOOKUP(A180,'Contribution Allocation_Report'!$A$9:$D$311,4,FALSE)*'OPEB Amounts_Report'!$K$326,0)</f>
        <v>1340282</v>
      </c>
      <c r="L180" s="120">
        <f>INDEX('Change in Proportion Layers'!$AD$8:$AD$324,MATCH('OPEB Amounts_Report'!A180,'Change in Proportion Layers'!$A$8:$A$324,0))</f>
        <v>24568</v>
      </c>
      <c r="M180" s="120">
        <f t="shared" si="6"/>
        <v>1632840</v>
      </c>
      <c r="N180" s="121"/>
      <c r="O180" s="121">
        <f>ROUND(VLOOKUP(A180,'Contribution Allocation_Report'!$A$9:$D$311,4,FALSE)*'OPEB Amounts_Report'!$O$326,0)</f>
        <v>-380364</v>
      </c>
      <c r="P180" s="121">
        <f>INDEX('Change in Proportion Layers'!$AA$8:$AA$324,MATCH('OPEB Amounts_Report'!A180,'Change in Proportion Layers'!$A$8:$A$324,0))</f>
        <v>111075</v>
      </c>
      <c r="Q180" s="121">
        <f t="shared" si="8"/>
        <v>-269289</v>
      </c>
    </row>
    <row r="181" spans="1:17" ht="12" customHeight="1">
      <c r="A181" s="166">
        <v>2148</v>
      </c>
      <c r="B181" s="167" t="s">
        <v>168</v>
      </c>
      <c r="C181" s="122">
        <f>ROUND(VLOOKUP(A181,'Contribution Allocation_Report'!$A$9:$D$311,4,FALSE)*'OPEB Amounts_Report'!$C$326,0)</f>
        <v>542622</v>
      </c>
      <c r="D181" s="122">
        <f>ROUND(VLOOKUP(A181,'Contribution Allocation_Report'!$A$9:$D$311,4,FALSE)*'OPEB Amounts_Report'!$D$326,0)</f>
        <v>9025</v>
      </c>
      <c r="E181" s="122">
        <f>ROUND(VLOOKUP(A181,'Contribution Allocation_Report'!$A$9:$D$311,4,FALSE)*'OPEB Amounts_Report'!$E$326,0)</f>
        <v>7482</v>
      </c>
      <c r="F181" s="122">
        <f>ROUND(VLOOKUP(A181,'Contribution Allocation_Report'!$A$9:$D$311,4,FALSE)*'OPEB Amounts_Report'!$F$326,0)</f>
        <v>115783</v>
      </c>
      <c r="G181" s="122">
        <f>INDEX('Change in Proportion Layers'!$AC$8:$AC$324,MATCH('OPEB Amounts_Report'!A181,'Change in Proportion Layers'!$A$8:$A$324,0))</f>
        <v>9707</v>
      </c>
      <c r="H181" s="122">
        <f t="shared" si="7"/>
        <v>141997</v>
      </c>
      <c r="I181" s="122"/>
      <c r="J181" s="122">
        <f>ROUND(VLOOKUP(A181,'Contribution Allocation_Report'!$A$9:$D$311,4,FALSE)*'OPEB Amounts_Report'!$J$326,0)</f>
        <v>80428</v>
      </c>
      <c r="K181" s="122">
        <f>ROUND(VLOOKUP(A181,'Contribution Allocation_Report'!$A$9:$D$311,4,FALSE)*'OPEB Amounts_Report'!$K$326,0)</f>
        <v>402240</v>
      </c>
      <c r="L181" s="131">
        <f>INDEX('Change in Proportion Layers'!$AD$8:$AD$324,MATCH('OPEB Amounts_Report'!A181,'Change in Proportion Layers'!$A$8:$A$324,0))</f>
        <v>65349</v>
      </c>
      <c r="M181" s="122">
        <f t="shared" si="6"/>
        <v>548017</v>
      </c>
      <c r="N181" s="123"/>
      <c r="O181" s="123">
        <f>ROUND(VLOOKUP(A181,'Contribution Allocation_Report'!$A$9:$D$311,4,FALSE)*'OPEB Amounts_Report'!$O$326,0)</f>
        <v>-114153</v>
      </c>
      <c r="P181" s="123">
        <f>INDEX('Change in Proportion Layers'!$AA$8:$AA$324,MATCH('OPEB Amounts_Report'!A181,'Change in Proportion Layers'!$A$8:$A$324,0))</f>
        <v>-18734</v>
      </c>
      <c r="Q181" s="123">
        <f t="shared" si="8"/>
        <v>-132887</v>
      </c>
    </row>
    <row r="182" spans="1:17" ht="12" customHeight="1">
      <c r="A182" s="164">
        <v>1418</v>
      </c>
      <c r="B182" s="168" t="s">
        <v>169</v>
      </c>
      <c r="C182" s="120">
        <f>ROUND(VLOOKUP(A182,'Contribution Allocation_Report'!$A$9:$D$311,4,FALSE)*'OPEB Amounts_Report'!$C$326,0)</f>
        <v>2267040</v>
      </c>
      <c r="D182" s="120">
        <f>ROUND(VLOOKUP(A182,'Contribution Allocation_Report'!$A$9:$D$311,4,FALSE)*'OPEB Amounts_Report'!$D$326,0)</f>
        <v>37708</v>
      </c>
      <c r="E182" s="120">
        <f>ROUND(VLOOKUP(A182,'Contribution Allocation_Report'!$A$9:$D$311,4,FALSE)*'OPEB Amounts_Report'!$E$326,0)</f>
        <v>31260</v>
      </c>
      <c r="F182" s="120">
        <f>ROUND(VLOOKUP(A182,'Contribution Allocation_Report'!$A$9:$D$311,4,FALSE)*'OPEB Amounts_Report'!$F$326,0)</f>
        <v>483733</v>
      </c>
      <c r="G182" s="120">
        <f>INDEX('Change in Proportion Layers'!$AC$8:$AC$324,MATCH('OPEB Amounts_Report'!A182,'Change in Proportion Layers'!$A$8:$A$324,0))</f>
        <v>1435518</v>
      </c>
      <c r="H182" s="120">
        <f t="shared" si="7"/>
        <v>1988219</v>
      </c>
      <c r="I182" s="120"/>
      <c r="J182" s="120">
        <f>ROUND(VLOOKUP(A182,'Contribution Allocation_Report'!$A$9:$D$311,4,FALSE)*'OPEB Amounts_Report'!$J$326,0)</f>
        <v>336023</v>
      </c>
      <c r="K182" s="120">
        <f>ROUND(VLOOKUP(A182,'Contribution Allocation_Report'!$A$9:$D$311,4,FALSE)*'OPEB Amounts_Report'!$K$326,0)</f>
        <v>1680531</v>
      </c>
      <c r="L182" s="130">
        <f>INDEX('Change in Proportion Layers'!$AD$8:$AD$324,MATCH('OPEB Amounts_Report'!A182,'Change in Proportion Layers'!$A$8:$A$324,0))</f>
        <v>351795</v>
      </c>
      <c r="M182" s="120">
        <f t="shared" si="6"/>
        <v>2368349</v>
      </c>
      <c r="N182" s="121"/>
      <c r="O182" s="121">
        <f>ROUND(VLOOKUP(A182,'Contribution Allocation_Report'!$A$9:$D$311,4,FALSE)*'OPEB Amounts_Report'!$O$326,0)</f>
        <v>-476925</v>
      </c>
      <c r="P182" s="121">
        <f>INDEX('Change in Proportion Layers'!$AA$8:$AA$324,MATCH('OPEB Amounts_Report'!A182,'Change in Proportion Layers'!$A$8:$A$324,0))</f>
        <v>264924</v>
      </c>
      <c r="Q182" s="121">
        <f t="shared" si="8"/>
        <v>-212001</v>
      </c>
    </row>
    <row r="183" spans="1:17" ht="12" customHeight="1">
      <c r="A183" s="166">
        <v>12102</v>
      </c>
      <c r="B183" s="167" t="s">
        <v>170</v>
      </c>
      <c r="C183" s="122">
        <f>ROUND(VLOOKUP(A183,'Contribution Allocation_Report'!$A$9:$D$311,4,FALSE)*'OPEB Amounts_Report'!$C$326,0)</f>
        <v>12720064</v>
      </c>
      <c r="D183" s="122">
        <f>ROUND(VLOOKUP(A183,'Contribution Allocation_Report'!$A$9:$D$311,4,FALSE)*'OPEB Amounts_Report'!$D$326,0)</f>
        <v>211572</v>
      </c>
      <c r="E183" s="122">
        <f>ROUND(VLOOKUP(A183,'Contribution Allocation_Report'!$A$9:$D$311,4,FALSE)*'OPEB Amounts_Report'!$E$326,0)</f>
        <v>175398</v>
      </c>
      <c r="F183" s="122">
        <f>ROUND(VLOOKUP(A183,'Contribution Allocation_Report'!$A$9:$D$311,4,FALSE)*'OPEB Amounts_Report'!$F$326,0)</f>
        <v>2714160</v>
      </c>
      <c r="G183" s="122">
        <f>INDEX('Change in Proportion Layers'!$AC$8:$AC$324,MATCH('OPEB Amounts_Report'!A183,'Change in Proportion Layers'!$A$8:$A$324,0))</f>
        <v>1969237</v>
      </c>
      <c r="H183" s="122">
        <f t="shared" si="7"/>
        <v>5070367</v>
      </c>
      <c r="I183" s="122"/>
      <c r="J183" s="122">
        <f>ROUND(VLOOKUP(A183,'Contribution Allocation_Report'!$A$9:$D$311,4,FALSE)*'OPEB Amounts_Report'!$J$326,0)</f>
        <v>1885384</v>
      </c>
      <c r="K183" s="122">
        <f>ROUND(VLOOKUP(A183,'Contribution Allocation_Report'!$A$9:$D$311,4,FALSE)*'OPEB Amounts_Report'!$K$326,0)</f>
        <v>9429240</v>
      </c>
      <c r="L183" s="131">
        <f>INDEX('Change in Proportion Layers'!$AD$8:$AD$324,MATCH('OPEB Amounts_Report'!A183,'Change in Proportion Layers'!$A$8:$A$324,0))</f>
        <v>1331395</v>
      </c>
      <c r="M183" s="122">
        <f t="shared" si="6"/>
        <v>12646019</v>
      </c>
      <c r="N183" s="123"/>
      <c r="O183" s="123">
        <f>ROUND(VLOOKUP(A183,'Contribution Allocation_Report'!$A$9:$D$311,4,FALSE)*'OPEB Amounts_Report'!$O$326,0)</f>
        <v>-2675965</v>
      </c>
      <c r="P183" s="123">
        <f>INDEX('Change in Proportion Layers'!$AA$8:$AA$324,MATCH('OPEB Amounts_Report'!A183,'Change in Proportion Layers'!$A$8:$A$324,0))</f>
        <v>-266010</v>
      </c>
      <c r="Q183" s="123">
        <f t="shared" si="8"/>
        <v>-2941975</v>
      </c>
    </row>
    <row r="184" spans="1:17" ht="12" customHeight="1">
      <c r="A184" s="164">
        <v>2414</v>
      </c>
      <c r="B184" s="168" t="s">
        <v>171</v>
      </c>
      <c r="C184" s="120">
        <f>ROUND(VLOOKUP(A184,'Contribution Allocation_Report'!$A$9:$D$311,4,FALSE)*'OPEB Amounts_Report'!$C$326,0)</f>
        <v>1075619</v>
      </c>
      <c r="D184" s="120">
        <f>ROUND(VLOOKUP(A184,'Contribution Allocation_Report'!$A$9:$D$311,4,FALSE)*'OPEB Amounts_Report'!$D$326,0)</f>
        <v>17891</v>
      </c>
      <c r="E184" s="120">
        <f>ROUND(VLOOKUP(A184,'Contribution Allocation_Report'!$A$9:$D$311,4,FALSE)*'OPEB Amounts_Report'!$E$326,0)</f>
        <v>14832</v>
      </c>
      <c r="F184" s="120">
        <f>ROUND(VLOOKUP(A184,'Contribution Allocation_Report'!$A$9:$D$311,4,FALSE)*'OPEB Amounts_Report'!$F$326,0)</f>
        <v>229512</v>
      </c>
      <c r="G184" s="120">
        <f>INDEX('Change in Proportion Layers'!$AC$8:$AC$324,MATCH('OPEB Amounts_Report'!A184,'Change in Proportion Layers'!$A$8:$A$324,0))</f>
        <v>781510</v>
      </c>
      <c r="H184" s="120">
        <f t="shared" si="7"/>
        <v>1043745</v>
      </c>
      <c r="I184" s="120"/>
      <c r="J184" s="120">
        <f>ROUND(VLOOKUP(A184,'Contribution Allocation_Report'!$A$9:$D$311,4,FALSE)*'OPEB Amounts_Report'!$J$326,0)</f>
        <v>159430</v>
      </c>
      <c r="K184" s="120">
        <f>ROUND(VLOOKUP(A184,'Contribution Allocation_Report'!$A$9:$D$311,4,FALSE)*'OPEB Amounts_Report'!$K$326,0)</f>
        <v>797344</v>
      </c>
      <c r="L184" s="130">
        <f>INDEX('Change in Proportion Layers'!$AD$8:$AD$324,MATCH('OPEB Amounts_Report'!A184,'Change in Proportion Layers'!$A$8:$A$324,0))</f>
        <v>12534</v>
      </c>
      <c r="M184" s="120">
        <f t="shared" si="6"/>
        <v>969308</v>
      </c>
      <c r="N184" s="121"/>
      <c r="O184" s="121">
        <f>ROUND(VLOOKUP(A184,'Contribution Allocation_Report'!$A$9:$D$311,4,FALSE)*'OPEB Amounts_Report'!$O$326,0)</f>
        <v>-226282</v>
      </c>
      <c r="P184" s="121">
        <f>INDEX('Change in Proportion Layers'!$AA$8:$AA$324,MATCH('OPEB Amounts_Report'!A184,'Change in Proportion Layers'!$A$8:$A$324,0))</f>
        <v>225074</v>
      </c>
      <c r="Q184" s="121">
        <f t="shared" si="8"/>
        <v>-1208</v>
      </c>
    </row>
    <row r="185" spans="1:17" ht="12" customHeight="1">
      <c r="A185" s="166">
        <v>6124</v>
      </c>
      <c r="B185" s="167" t="s">
        <v>172</v>
      </c>
      <c r="C185" s="122">
        <f>ROUND(VLOOKUP(A185,'Contribution Allocation_Report'!$A$9:$D$311,4,FALSE)*'OPEB Amounts_Report'!$C$326,0)</f>
        <v>5628746</v>
      </c>
      <c r="D185" s="122">
        <f>ROUND(VLOOKUP(A185,'Contribution Allocation_Report'!$A$9:$D$311,4,FALSE)*'OPEB Amounts_Report'!$D$326,0)</f>
        <v>93623</v>
      </c>
      <c r="E185" s="122">
        <f>ROUND(VLOOKUP(A185,'Contribution Allocation_Report'!$A$9:$D$311,4,FALSE)*'OPEB Amounts_Report'!$E$326,0)</f>
        <v>77615</v>
      </c>
      <c r="F185" s="122">
        <f>ROUND(VLOOKUP(A185,'Contribution Allocation_Report'!$A$9:$D$311,4,FALSE)*'OPEB Amounts_Report'!$F$326,0)</f>
        <v>1201041</v>
      </c>
      <c r="G185" s="122">
        <f>INDEX('Change in Proportion Layers'!$AC$8:$AC$324,MATCH('OPEB Amounts_Report'!A185,'Change in Proportion Layers'!$A$8:$A$324,0))</f>
        <v>0</v>
      </c>
      <c r="H185" s="122">
        <f t="shared" si="7"/>
        <v>1372279</v>
      </c>
      <c r="I185" s="122"/>
      <c r="J185" s="122">
        <f>ROUND(VLOOKUP(A185,'Contribution Allocation_Report'!$A$9:$D$311,4,FALSE)*'OPEB Amounts_Report'!$J$326,0)</f>
        <v>834300</v>
      </c>
      <c r="K185" s="122">
        <f>ROUND(VLOOKUP(A185,'Contribution Allocation_Report'!$A$9:$D$311,4,FALSE)*'OPEB Amounts_Report'!$K$326,0)</f>
        <v>4172526</v>
      </c>
      <c r="L185" s="131">
        <f>INDEX('Change in Proportion Layers'!$AD$8:$AD$324,MATCH('OPEB Amounts_Report'!A185,'Change in Proportion Layers'!$A$8:$A$324,0))</f>
        <v>1586228</v>
      </c>
      <c r="M185" s="122">
        <f t="shared" si="6"/>
        <v>6593054</v>
      </c>
      <c r="N185" s="123"/>
      <c r="O185" s="123">
        <f>ROUND(VLOOKUP(A185,'Contribution Allocation_Report'!$A$9:$D$311,4,FALSE)*'OPEB Amounts_Report'!$O$326,0)</f>
        <v>-1184139</v>
      </c>
      <c r="P185" s="123">
        <f>INDEX('Change in Proportion Layers'!$AA$8:$AA$324,MATCH('OPEB Amounts_Report'!A185,'Change in Proportion Layers'!$A$8:$A$324,0))</f>
        <v>-635640</v>
      </c>
      <c r="Q185" s="123">
        <f t="shared" si="8"/>
        <v>-1819779</v>
      </c>
    </row>
    <row r="186" spans="1:17" ht="12" customHeight="1">
      <c r="A186" s="164">
        <v>4097</v>
      </c>
      <c r="B186" s="168" t="s">
        <v>173</v>
      </c>
      <c r="C186" s="120">
        <f>ROUND(VLOOKUP(A186,'Contribution Allocation_Report'!$A$9:$D$311,4,FALSE)*'OPEB Amounts_Report'!$C$326,0)</f>
        <v>6772062</v>
      </c>
      <c r="D186" s="120">
        <f>ROUND(VLOOKUP(A186,'Contribution Allocation_Report'!$A$9:$D$311,4,FALSE)*'OPEB Amounts_Report'!$D$326,0)</f>
        <v>112639</v>
      </c>
      <c r="E186" s="120">
        <f>ROUND(VLOOKUP(A186,'Contribution Allocation_Report'!$A$9:$D$311,4,FALSE)*'OPEB Amounts_Report'!$E$326,0)</f>
        <v>93380</v>
      </c>
      <c r="F186" s="120">
        <f>ROUND(VLOOKUP(A186,'Contribution Allocation_Report'!$A$9:$D$311,4,FALSE)*'OPEB Amounts_Report'!$F$326,0)</f>
        <v>1444997</v>
      </c>
      <c r="G186" s="120">
        <f>INDEX('Change in Proportion Layers'!$AC$8:$AC$324,MATCH('OPEB Amounts_Report'!A186,'Change in Proportion Layers'!$A$8:$A$324,0))</f>
        <v>26118</v>
      </c>
      <c r="H186" s="120">
        <f t="shared" si="7"/>
        <v>1677134</v>
      </c>
      <c r="I186" s="120"/>
      <c r="J186" s="120">
        <f>ROUND(VLOOKUP(A186,'Contribution Allocation_Report'!$A$9:$D$311,4,FALSE)*'OPEB Amounts_Report'!$J$326,0)</f>
        <v>1003763</v>
      </c>
      <c r="K186" s="120">
        <f>ROUND(VLOOKUP(A186,'Contribution Allocation_Report'!$A$9:$D$311,4,FALSE)*'OPEB Amounts_Report'!$K$326,0)</f>
        <v>5020053</v>
      </c>
      <c r="L186" s="120">
        <f>INDEX('Change in Proportion Layers'!$AD$8:$AD$324,MATCH('OPEB Amounts_Report'!A186,'Change in Proportion Layers'!$A$8:$A$324,0))</f>
        <v>649870</v>
      </c>
      <c r="M186" s="120">
        <f t="shared" si="6"/>
        <v>6673686</v>
      </c>
      <c r="N186" s="121"/>
      <c r="O186" s="121">
        <f>ROUND(VLOOKUP(A186,'Contribution Allocation_Report'!$A$9:$D$311,4,FALSE)*'OPEB Amounts_Report'!$O$326,0)</f>
        <v>-1424663</v>
      </c>
      <c r="P186" s="121">
        <f>INDEX('Change in Proportion Layers'!$AA$8:$AA$324,MATCH('OPEB Amounts_Report'!A186,'Change in Proportion Layers'!$A$8:$A$324,0))</f>
        <v>-166468</v>
      </c>
      <c r="Q186" s="121">
        <f t="shared" si="8"/>
        <v>-1591131</v>
      </c>
    </row>
    <row r="187" spans="1:17" ht="12" customHeight="1">
      <c r="A187" s="166">
        <v>1416</v>
      </c>
      <c r="B187" s="167" t="s">
        <v>174</v>
      </c>
      <c r="C187" s="122">
        <f>ROUND(VLOOKUP(A187,'Contribution Allocation_Report'!$A$9:$D$311,4,FALSE)*'OPEB Amounts_Report'!$C$326,0)</f>
        <v>879810</v>
      </c>
      <c r="D187" s="122">
        <f>ROUND(VLOOKUP(A187,'Contribution Allocation_Report'!$A$9:$D$311,4,FALSE)*'OPEB Amounts_Report'!$D$326,0)</f>
        <v>14634</v>
      </c>
      <c r="E187" s="122">
        <f>ROUND(VLOOKUP(A187,'Contribution Allocation_Report'!$A$9:$D$311,4,FALSE)*'OPEB Amounts_Report'!$E$326,0)</f>
        <v>12132</v>
      </c>
      <c r="F187" s="122">
        <f>ROUND(VLOOKUP(A187,'Contribution Allocation_Report'!$A$9:$D$311,4,FALSE)*'OPEB Amounts_Report'!$F$326,0)</f>
        <v>187731</v>
      </c>
      <c r="G187" s="122">
        <f>INDEX('Change in Proportion Layers'!$AC$8:$AC$324,MATCH('OPEB Amounts_Report'!A187,'Change in Proportion Layers'!$A$8:$A$324,0))</f>
        <v>237411</v>
      </c>
      <c r="H187" s="122">
        <f t="shared" si="7"/>
        <v>451908</v>
      </c>
      <c r="I187" s="122"/>
      <c r="J187" s="122">
        <f>ROUND(VLOOKUP(A187,'Contribution Allocation_Report'!$A$9:$D$311,4,FALSE)*'OPEB Amounts_Report'!$J$326,0)</f>
        <v>130407</v>
      </c>
      <c r="K187" s="122">
        <f>ROUND(VLOOKUP(A187,'Contribution Allocation_Report'!$A$9:$D$311,4,FALSE)*'OPEB Amounts_Report'!$K$326,0)</f>
        <v>652193</v>
      </c>
      <c r="L187" s="131">
        <f>INDEX('Change in Proportion Layers'!$AD$8:$AD$324,MATCH('OPEB Amounts_Report'!A187,'Change in Proportion Layers'!$A$8:$A$324,0))</f>
        <v>0</v>
      </c>
      <c r="M187" s="122">
        <f t="shared" si="6"/>
        <v>782600</v>
      </c>
      <c r="N187" s="123"/>
      <c r="O187" s="123">
        <f>ROUND(VLOOKUP(A187,'Contribution Allocation_Report'!$A$9:$D$311,4,FALSE)*'OPEB Amounts_Report'!$O$326,0)</f>
        <v>-185089</v>
      </c>
      <c r="P187" s="123">
        <f>INDEX('Change in Proportion Layers'!$AA$8:$AA$324,MATCH('OPEB Amounts_Report'!A187,'Change in Proportion Layers'!$A$8:$A$324,0))</f>
        <v>87493</v>
      </c>
      <c r="Q187" s="123">
        <f t="shared" si="8"/>
        <v>-97596</v>
      </c>
    </row>
    <row r="188" spans="1:17" ht="12" customHeight="1">
      <c r="A188" s="164">
        <v>1094</v>
      </c>
      <c r="B188" s="168" t="s">
        <v>175</v>
      </c>
      <c r="C188" s="120">
        <f>ROUND(VLOOKUP(A188,'Contribution Allocation_Report'!$A$9:$D$311,4,FALSE)*'OPEB Amounts_Report'!$C$326,0)</f>
        <v>4761337</v>
      </c>
      <c r="D188" s="120">
        <f>ROUND(VLOOKUP(A188,'Contribution Allocation_Report'!$A$9:$D$311,4,FALSE)*'OPEB Amounts_Report'!$D$326,0)</f>
        <v>79195</v>
      </c>
      <c r="E188" s="120">
        <f>ROUND(VLOOKUP(A188,'Contribution Allocation_Report'!$A$9:$D$311,4,FALSE)*'OPEB Amounts_Report'!$E$326,0)</f>
        <v>65654</v>
      </c>
      <c r="F188" s="120">
        <f>ROUND(VLOOKUP(A188,'Contribution Allocation_Report'!$A$9:$D$311,4,FALSE)*'OPEB Amounts_Report'!$F$326,0)</f>
        <v>1015956</v>
      </c>
      <c r="G188" s="120">
        <f>INDEX('Change in Proportion Layers'!$AC$8:$AC$324,MATCH('OPEB Amounts_Report'!A188,'Change in Proportion Layers'!$A$8:$A$324,0))</f>
        <v>129121</v>
      </c>
      <c r="H188" s="120">
        <f t="shared" si="7"/>
        <v>1289926</v>
      </c>
      <c r="I188" s="120"/>
      <c r="J188" s="120">
        <f>ROUND(VLOOKUP(A188,'Contribution Allocation_Report'!$A$9:$D$311,4,FALSE)*'OPEB Amounts_Report'!$J$326,0)</f>
        <v>705731</v>
      </c>
      <c r="K188" s="120">
        <f>ROUND(VLOOKUP(A188,'Contribution Allocation_Report'!$A$9:$D$311,4,FALSE)*'OPEB Amounts_Report'!$K$326,0)</f>
        <v>3529526</v>
      </c>
      <c r="L188" s="130">
        <f>INDEX('Change in Proportion Layers'!$AD$8:$AD$324,MATCH('OPEB Amounts_Report'!A188,'Change in Proportion Layers'!$A$8:$A$324,0))</f>
        <v>944604</v>
      </c>
      <c r="M188" s="120">
        <f t="shared" si="6"/>
        <v>5179861</v>
      </c>
      <c r="N188" s="121"/>
      <c r="O188" s="121">
        <f>ROUND(VLOOKUP(A188,'Contribution Allocation_Report'!$A$9:$D$311,4,FALSE)*'OPEB Amounts_Report'!$O$326,0)</f>
        <v>-1001659</v>
      </c>
      <c r="P188" s="121">
        <f>INDEX('Change in Proportion Layers'!$AA$8:$AA$324,MATCH('OPEB Amounts_Report'!A188,'Change in Proportion Layers'!$A$8:$A$324,0))</f>
        <v>-147492</v>
      </c>
      <c r="Q188" s="121">
        <f t="shared" si="8"/>
        <v>-1149151</v>
      </c>
    </row>
    <row r="189" spans="1:17" ht="12" customHeight="1">
      <c r="A189" s="166">
        <v>32111</v>
      </c>
      <c r="B189" s="167" t="s">
        <v>176</v>
      </c>
      <c r="C189" s="122">
        <f>ROUND(VLOOKUP(A189,'Contribution Allocation_Report'!$A$9:$D$311,4,FALSE)*'OPEB Amounts_Report'!$C$326,0)</f>
        <v>4775946</v>
      </c>
      <c r="D189" s="122">
        <f>ROUND(VLOOKUP(A189,'Contribution Allocation_Report'!$A$9:$D$311,4,FALSE)*'OPEB Amounts_Report'!$D$326,0)</f>
        <v>79438</v>
      </c>
      <c r="E189" s="122">
        <f>ROUND(VLOOKUP(A189,'Contribution Allocation_Report'!$A$9:$D$311,4,FALSE)*'OPEB Amounts_Report'!$E$326,0)</f>
        <v>65856</v>
      </c>
      <c r="F189" s="122">
        <f>ROUND(VLOOKUP(A189,'Contribution Allocation_Report'!$A$9:$D$311,4,FALSE)*'OPEB Amounts_Report'!$F$326,0)</f>
        <v>1019074</v>
      </c>
      <c r="G189" s="122">
        <f>INDEX('Change in Proportion Layers'!$AC$8:$AC$324,MATCH('OPEB Amounts_Report'!A189,'Change in Proportion Layers'!$A$8:$A$324,0))</f>
        <v>190131</v>
      </c>
      <c r="H189" s="122">
        <f t="shared" si="7"/>
        <v>1354499</v>
      </c>
      <c r="I189" s="122"/>
      <c r="J189" s="122">
        <f>ROUND(VLOOKUP(A189,'Contribution Allocation_Report'!$A$9:$D$311,4,FALSE)*'OPEB Amounts_Report'!$J$326,0)</f>
        <v>707897</v>
      </c>
      <c r="K189" s="122">
        <f>ROUND(VLOOKUP(A189,'Contribution Allocation_Report'!$A$9:$D$311,4,FALSE)*'OPEB Amounts_Report'!$K$326,0)</f>
        <v>3540355</v>
      </c>
      <c r="L189" s="122">
        <f>INDEX('Change in Proportion Layers'!$AD$8:$AD$324,MATCH('OPEB Amounts_Report'!A189,'Change in Proportion Layers'!$A$8:$A$324,0))</f>
        <v>323681</v>
      </c>
      <c r="M189" s="122">
        <f t="shared" si="6"/>
        <v>4571933</v>
      </c>
      <c r="N189" s="123"/>
      <c r="O189" s="123">
        <f>ROUND(VLOOKUP(A189,'Contribution Allocation_Report'!$A$9:$D$311,4,FALSE)*'OPEB Amounts_Report'!$O$326,0)</f>
        <v>-1004733</v>
      </c>
      <c r="P189" s="123">
        <f>INDEX('Change in Proportion Layers'!$AA$8:$AA$324,MATCH('OPEB Amounts_Report'!A189,'Change in Proportion Layers'!$A$8:$A$324,0))</f>
        <v>-24779</v>
      </c>
      <c r="Q189" s="123">
        <f t="shared" si="8"/>
        <v>-1029512</v>
      </c>
    </row>
    <row r="190" spans="1:17" ht="12" customHeight="1">
      <c r="A190" s="164">
        <v>2520</v>
      </c>
      <c r="B190" s="168" t="s">
        <v>177</v>
      </c>
      <c r="C190" s="120">
        <f>ROUND(VLOOKUP(A190,'Contribution Allocation_Report'!$A$9:$D$311,4,FALSE)*'OPEB Amounts_Report'!$C$326,0)</f>
        <v>719067</v>
      </c>
      <c r="D190" s="120">
        <f>ROUND(VLOOKUP(A190,'Contribution Allocation_Report'!$A$9:$D$311,4,FALSE)*'OPEB Amounts_Report'!$D$326,0)</f>
        <v>11960</v>
      </c>
      <c r="E190" s="120">
        <f>ROUND(VLOOKUP(A190,'Contribution Allocation_Report'!$A$9:$D$311,4,FALSE)*'OPEB Amounts_Report'!$E$326,0)</f>
        <v>9915</v>
      </c>
      <c r="F190" s="120">
        <f>ROUND(VLOOKUP(A190,'Contribution Allocation_Report'!$A$9:$D$311,4,FALSE)*'OPEB Amounts_Report'!$F$326,0)</f>
        <v>153432</v>
      </c>
      <c r="G190" s="120">
        <f>INDEX('Change in Proportion Layers'!$AC$8:$AC$324,MATCH('OPEB Amounts_Report'!A190,'Change in Proportion Layers'!$A$8:$A$324,0))</f>
        <v>234463</v>
      </c>
      <c r="H190" s="120">
        <f t="shared" si="7"/>
        <v>409770</v>
      </c>
      <c r="I190" s="120"/>
      <c r="J190" s="120">
        <f>ROUND(VLOOKUP(A190,'Contribution Allocation_Report'!$A$9:$D$311,4,FALSE)*'OPEB Amounts_Report'!$J$326,0)</f>
        <v>106581</v>
      </c>
      <c r="K190" s="120">
        <f>ROUND(VLOOKUP(A190,'Contribution Allocation_Report'!$A$9:$D$311,4,FALSE)*'OPEB Amounts_Report'!$K$326,0)</f>
        <v>533036</v>
      </c>
      <c r="L190" s="120">
        <f>INDEX('Change in Proportion Layers'!$AD$8:$AD$324,MATCH('OPEB Amounts_Report'!A190,'Change in Proportion Layers'!$A$8:$A$324,0))</f>
        <v>176262</v>
      </c>
      <c r="M190" s="120">
        <f t="shared" si="6"/>
        <v>815879</v>
      </c>
      <c r="N190" s="121"/>
      <c r="O190" s="121">
        <f>ROUND(VLOOKUP(A190,'Contribution Allocation_Report'!$A$9:$D$311,4,FALSE)*'OPEB Amounts_Report'!$O$326,0)</f>
        <v>-151273</v>
      </c>
      <c r="P190" s="121">
        <f>INDEX('Change in Proportion Layers'!$AA$8:$AA$324,MATCH('OPEB Amounts_Report'!A190,'Change in Proportion Layers'!$A$8:$A$324,0))</f>
        <v>-44605</v>
      </c>
      <c r="Q190" s="121">
        <f t="shared" si="8"/>
        <v>-195878</v>
      </c>
    </row>
    <row r="191" spans="1:17" ht="12" customHeight="1">
      <c r="A191" s="166">
        <v>3450</v>
      </c>
      <c r="B191" s="167" t="s">
        <v>178</v>
      </c>
      <c r="C191" s="122">
        <f>ROUND(VLOOKUP(A191,'Contribution Allocation_Report'!$A$9:$D$311,4,FALSE)*'OPEB Amounts_Report'!$C$326,0)</f>
        <v>1286993</v>
      </c>
      <c r="D191" s="122">
        <f>ROUND(VLOOKUP(A191,'Contribution Allocation_Report'!$A$9:$D$311,4,FALSE)*'OPEB Amounts_Report'!$D$326,0)</f>
        <v>21406</v>
      </c>
      <c r="E191" s="122">
        <f>ROUND(VLOOKUP(A191,'Contribution Allocation_Report'!$A$9:$D$311,4,FALSE)*'OPEB Amounts_Report'!$E$326,0)</f>
        <v>17746</v>
      </c>
      <c r="F191" s="122">
        <f>ROUND(VLOOKUP(A191,'Contribution Allocation_Report'!$A$9:$D$311,4,FALSE)*'OPEB Amounts_Report'!$F$326,0)</f>
        <v>274614</v>
      </c>
      <c r="G191" s="122">
        <f>INDEX('Change in Proportion Layers'!$AC$8:$AC$324,MATCH('OPEB Amounts_Report'!A191,'Change in Proportion Layers'!$A$8:$A$324,0))</f>
        <v>34446</v>
      </c>
      <c r="H191" s="122">
        <f t="shared" si="7"/>
        <v>348212</v>
      </c>
      <c r="I191" s="122"/>
      <c r="J191" s="122">
        <f>ROUND(VLOOKUP(A191,'Contribution Allocation_Report'!$A$9:$D$311,4,FALSE)*'OPEB Amounts_Report'!$J$326,0)</f>
        <v>190760</v>
      </c>
      <c r="K191" s="122">
        <f>ROUND(VLOOKUP(A191,'Contribution Allocation_Report'!$A$9:$D$311,4,FALSE)*'OPEB Amounts_Report'!$K$326,0)</f>
        <v>954033</v>
      </c>
      <c r="L191" s="131">
        <f>INDEX('Change in Proportion Layers'!$AD$8:$AD$324,MATCH('OPEB Amounts_Report'!A191,'Change in Proportion Layers'!$A$8:$A$324,0))</f>
        <v>90597</v>
      </c>
      <c r="M191" s="122">
        <f t="shared" si="6"/>
        <v>1235390</v>
      </c>
      <c r="N191" s="123"/>
      <c r="O191" s="123">
        <f>ROUND(VLOOKUP(A191,'Contribution Allocation_Report'!$A$9:$D$311,4,FALSE)*'OPEB Amounts_Report'!$O$326,0)</f>
        <v>-270749</v>
      </c>
      <c r="P191" s="123">
        <f>INDEX('Change in Proportion Layers'!$AA$8:$AA$324,MATCH('OPEB Amounts_Report'!A191,'Change in Proportion Layers'!$A$8:$A$324,0))</f>
        <v>9515</v>
      </c>
      <c r="Q191" s="123">
        <f t="shared" si="8"/>
        <v>-261234</v>
      </c>
    </row>
    <row r="192" spans="1:17" ht="12" customHeight="1">
      <c r="A192" s="164">
        <v>4310</v>
      </c>
      <c r="B192" s="168" t="s">
        <v>179</v>
      </c>
      <c r="C192" s="120">
        <f>ROUND(VLOOKUP(A192,'Contribution Allocation_Report'!$A$9:$D$311,4,FALSE)*'OPEB Amounts_Report'!$C$326,0)</f>
        <v>678130</v>
      </c>
      <c r="D192" s="120">
        <f>ROUND(VLOOKUP(A192,'Contribution Allocation_Report'!$A$9:$D$311,4,FALSE)*'OPEB Amounts_Report'!$D$326,0)</f>
        <v>11279</v>
      </c>
      <c r="E192" s="120">
        <f>ROUND(VLOOKUP(A192,'Contribution Allocation_Report'!$A$9:$D$311,4,FALSE)*'OPEB Amounts_Report'!$E$326,0)</f>
        <v>9351</v>
      </c>
      <c r="F192" s="120">
        <f>ROUND(VLOOKUP(A192,'Contribution Allocation_Report'!$A$9:$D$311,4,FALSE)*'OPEB Amounts_Report'!$F$326,0)</f>
        <v>144697</v>
      </c>
      <c r="G192" s="120">
        <f>INDEX('Change in Proportion Layers'!$AC$8:$AC$324,MATCH('OPEB Amounts_Report'!A192,'Change in Proportion Layers'!$A$8:$A$324,0))</f>
        <v>66274</v>
      </c>
      <c r="H192" s="120">
        <f t="shared" si="7"/>
        <v>231601</v>
      </c>
      <c r="I192" s="120"/>
      <c r="J192" s="120">
        <f>ROUND(VLOOKUP(A192,'Contribution Allocation_Report'!$A$9:$D$311,4,FALSE)*'OPEB Amounts_Report'!$J$326,0)</f>
        <v>100513</v>
      </c>
      <c r="K192" s="120">
        <f>ROUND(VLOOKUP(A192,'Contribution Allocation_Report'!$A$9:$D$311,4,FALSE)*'OPEB Amounts_Report'!$K$326,0)</f>
        <v>502690</v>
      </c>
      <c r="L192" s="130">
        <f>INDEX('Change in Proportion Layers'!$AD$8:$AD$324,MATCH('OPEB Amounts_Report'!A192,'Change in Proportion Layers'!$A$8:$A$324,0))</f>
        <v>190971</v>
      </c>
      <c r="M192" s="120">
        <f t="shared" si="6"/>
        <v>794174</v>
      </c>
      <c r="N192" s="121"/>
      <c r="O192" s="121">
        <f>ROUND(VLOOKUP(A192,'Contribution Allocation_Report'!$A$9:$D$311,4,FALSE)*'OPEB Amounts_Report'!$O$326,0)</f>
        <v>-142661</v>
      </c>
      <c r="P192" s="121">
        <f>INDEX('Change in Proportion Layers'!$AA$8:$AA$324,MATCH('OPEB Amounts_Report'!A192,'Change in Proportion Layers'!$A$8:$A$324,0))</f>
        <v>13072</v>
      </c>
      <c r="Q192" s="121">
        <f t="shared" si="8"/>
        <v>-129589</v>
      </c>
    </row>
    <row r="193" spans="1:17" ht="12" customHeight="1">
      <c r="A193" s="166">
        <v>2328</v>
      </c>
      <c r="B193" s="167" t="s">
        <v>180</v>
      </c>
      <c r="C193" s="122">
        <f>ROUND(VLOOKUP(A193,'Contribution Allocation_Report'!$A$9:$D$311,4,FALSE)*'OPEB Amounts_Report'!$C$326,0)</f>
        <v>1274478</v>
      </c>
      <c r="D193" s="122">
        <f>ROUND(VLOOKUP(A193,'Contribution Allocation_Report'!$A$9:$D$311,4,FALSE)*'OPEB Amounts_Report'!$D$326,0)</f>
        <v>21198</v>
      </c>
      <c r="E193" s="122">
        <f>ROUND(VLOOKUP(A193,'Contribution Allocation_Report'!$A$9:$D$311,4,FALSE)*'OPEB Amounts_Report'!$E$326,0)</f>
        <v>17574</v>
      </c>
      <c r="F193" s="122">
        <f>ROUND(VLOOKUP(A193,'Contribution Allocation_Report'!$A$9:$D$311,4,FALSE)*'OPEB Amounts_Report'!$F$326,0)</f>
        <v>271943</v>
      </c>
      <c r="G193" s="122">
        <f>INDEX('Change in Proportion Layers'!$AC$8:$AC$324,MATCH('OPEB Amounts_Report'!A193,'Change in Proportion Layers'!$A$8:$A$324,0))</f>
        <v>270975</v>
      </c>
      <c r="H193" s="122">
        <f t="shared" si="7"/>
        <v>581690</v>
      </c>
      <c r="I193" s="122"/>
      <c r="J193" s="122">
        <f>ROUND(VLOOKUP(A193,'Contribution Allocation_Report'!$A$9:$D$311,4,FALSE)*'OPEB Amounts_Report'!$J$326,0)</f>
        <v>188905</v>
      </c>
      <c r="K193" s="122">
        <f>ROUND(VLOOKUP(A193,'Contribution Allocation_Report'!$A$9:$D$311,4,FALSE)*'OPEB Amounts_Report'!$K$326,0)</f>
        <v>944756</v>
      </c>
      <c r="L193" s="122">
        <f>INDEX('Change in Proportion Layers'!$AD$8:$AD$324,MATCH('OPEB Amounts_Report'!A193,'Change in Proportion Layers'!$A$8:$A$324,0))</f>
        <v>103925</v>
      </c>
      <c r="M193" s="122">
        <f t="shared" si="6"/>
        <v>1237586</v>
      </c>
      <c r="N193" s="123"/>
      <c r="O193" s="123">
        <f>ROUND(VLOOKUP(A193,'Contribution Allocation_Report'!$A$9:$D$311,4,FALSE)*'OPEB Amounts_Report'!$O$326,0)</f>
        <v>-268116</v>
      </c>
      <c r="P193" s="123">
        <f>INDEX('Change in Proportion Layers'!$AA$8:$AA$324,MATCH('OPEB Amounts_Report'!A193,'Change in Proportion Layers'!$A$8:$A$324,0))</f>
        <v>-29560</v>
      </c>
      <c r="Q193" s="123">
        <f t="shared" si="8"/>
        <v>-297676</v>
      </c>
    </row>
    <row r="194" spans="1:17" ht="12" customHeight="1">
      <c r="A194" s="164">
        <v>12151</v>
      </c>
      <c r="B194" s="168" t="s">
        <v>181</v>
      </c>
      <c r="C194" s="120">
        <f>ROUND(VLOOKUP(A194,'Contribution Allocation_Report'!$A$9:$D$311,4,FALSE)*'OPEB Amounts_Report'!$C$326,0)</f>
        <v>374961</v>
      </c>
      <c r="D194" s="120">
        <f>ROUND(VLOOKUP(A194,'Contribution Allocation_Report'!$A$9:$D$311,4,FALSE)*'OPEB Amounts_Report'!$D$326,0)</f>
        <v>6237</v>
      </c>
      <c r="E194" s="120">
        <f>ROUND(VLOOKUP(A194,'Contribution Allocation_Report'!$A$9:$D$311,4,FALSE)*'OPEB Amounts_Report'!$E$326,0)</f>
        <v>5170</v>
      </c>
      <c r="F194" s="120">
        <f>ROUND(VLOOKUP(A194,'Contribution Allocation_Report'!$A$9:$D$311,4,FALSE)*'OPEB Amounts_Report'!$F$326,0)</f>
        <v>80008</v>
      </c>
      <c r="G194" s="120">
        <f>INDEX('Change in Proportion Layers'!$AC$8:$AC$324,MATCH('OPEB Amounts_Report'!A194,'Change in Proportion Layers'!$A$8:$A$324,0))</f>
        <v>31589</v>
      </c>
      <c r="H194" s="120">
        <f t="shared" si="7"/>
        <v>123004</v>
      </c>
      <c r="I194" s="120"/>
      <c r="J194" s="120">
        <f>ROUND(VLOOKUP(A194,'Contribution Allocation_Report'!$A$9:$D$311,4,FALSE)*'OPEB Amounts_Report'!$J$326,0)</f>
        <v>55577</v>
      </c>
      <c r="K194" s="120">
        <f>ROUND(VLOOKUP(A194,'Contribution Allocation_Report'!$A$9:$D$311,4,FALSE)*'OPEB Amounts_Report'!$K$326,0)</f>
        <v>277955</v>
      </c>
      <c r="L194" s="120">
        <f>INDEX('Change in Proportion Layers'!$AD$8:$AD$324,MATCH('OPEB Amounts_Report'!A194,'Change in Proportion Layers'!$A$8:$A$324,0))</f>
        <v>239332</v>
      </c>
      <c r="M194" s="120">
        <f t="shared" si="6"/>
        <v>572864</v>
      </c>
      <c r="N194" s="121"/>
      <c r="O194" s="121">
        <f>ROUND(VLOOKUP(A194,'Contribution Allocation_Report'!$A$9:$D$311,4,FALSE)*'OPEB Amounts_Report'!$O$326,0)</f>
        <v>-78882</v>
      </c>
      <c r="P194" s="121">
        <f>INDEX('Change in Proportion Layers'!$AA$8:$AA$324,MATCH('OPEB Amounts_Report'!A194,'Change in Proportion Layers'!$A$8:$A$324,0))</f>
        <v>-101255</v>
      </c>
      <c r="Q194" s="121">
        <f t="shared" si="8"/>
        <v>-180137</v>
      </c>
    </row>
    <row r="195" spans="1:17" ht="12" customHeight="1">
      <c r="A195" s="166">
        <v>32110</v>
      </c>
      <c r="B195" s="167" t="s">
        <v>182</v>
      </c>
      <c r="C195" s="122">
        <f>ROUND(VLOOKUP(A195,'Contribution Allocation_Report'!$A$9:$D$311,4,FALSE)*'OPEB Amounts_Report'!$C$326,0)</f>
        <v>4498696</v>
      </c>
      <c r="D195" s="122">
        <f>ROUND(VLOOKUP(A195,'Contribution Allocation_Report'!$A$9:$D$311,4,FALSE)*'OPEB Amounts_Report'!$D$326,0)</f>
        <v>74827</v>
      </c>
      <c r="E195" s="122">
        <f>ROUND(VLOOKUP(A195,'Contribution Allocation_Report'!$A$9:$D$311,4,FALSE)*'OPEB Amounts_Report'!$E$326,0)</f>
        <v>62033</v>
      </c>
      <c r="F195" s="122">
        <f>ROUND(VLOOKUP(A195,'Contribution Allocation_Report'!$A$9:$D$311,4,FALSE)*'OPEB Amounts_Report'!$F$326,0)</f>
        <v>959915</v>
      </c>
      <c r="G195" s="122">
        <f>INDEX('Change in Proportion Layers'!$AC$8:$AC$324,MATCH('OPEB Amounts_Report'!A195,'Change in Proportion Layers'!$A$8:$A$324,0))</f>
        <v>756004</v>
      </c>
      <c r="H195" s="122">
        <f t="shared" si="7"/>
        <v>1852779</v>
      </c>
      <c r="I195" s="122"/>
      <c r="J195" s="122">
        <f>ROUND(VLOOKUP(A195,'Contribution Allocation_Report'!$A$9:$D$311,4,FALSE)*'OPEB Amounts_Report'!$J$326,0)</f>
        <v>666802</v>
      </c>
      <c r="K195" s="122">
        <f>ROUND(VLOOKUP(A195,'Contribution Allocation_Report'!$A$9:$D$311,4,FALSE)*'OPEB Amounts_Report'!$K$326,0)</f>
        <v>3334832</v>
      </c>
      <c r="L195" s="122">
        <f>INDEX('Change in Proportion Layers'!$AD$8:$AD$324,MATCH('OPEB Amounts_Report'!A195,'Change in Proportion Layers'!$A$8:$A$324,0))</f>
        <v>331373</v>
      </c>
      <c r="M195" s="122">
        <f t="shared" si="6"/>
        <v>4333007</v>
      </c>
      <c r="N195" s="123"/>
      <c r="O195" s="123">
        <f>ROUND(VLOOKUP(A195,'Contribution Allocation_Report'!$A$9:$D$311,4,FALSE)*'OPEB Amounts_Report'!$O$326,0)</f>
        <v>-946407</v>
      </c>
      <c r="P195" s="123">
        <f>INDEX('Change in Proportion Layers'!$AA$8:$AA$324,MATCH('OPEB Amounts_Report'!A195,'Change in Proportion Layers'!$A$8:$A$324,0))</f>
        <v>200061</v>
      </c>
      <c r="Q195" s="123">
        <f t="shared" si="8"/>
        <v>-746346</v>
      </c>
    </row>
    <row r="196" spans="1:17" ht="12" customHeight="1">
      <c r="A196" s="164">
        <v>2870</v>
      </c>
      <c r="B196" s="168" t="s">
        <v>184</v>
      </c>
      <c r="C196" s="120">
        <f>ROUND(VLOOKUP(A196,'Contribution Allocation_Report'!$A$9:$D$311,4,FALSE)*'OPEB Amounts_Report'!$C$326,0)</f>
        <v>787014</v>
      </c>
      <c r="D196" s="120">
        <f>ROUND(VLOOKUP(A196,'Contribution Allocation_Report'!$A$9:$D$311,4,FALSE)*'OPEB Amounts_Report'!$D$326,0)</f>
        <v>13090</v>
      </c>
      <c r="E196" s="120">
        <f>ROUND(VLOOKUP(A196,'Contribution Allocation_Report'!$A$9:$D$311,4,FALSE)*'OPEB Amounts_Report'!$E$326,0)</f>
        <v>10852</v>
      </c>
      <c r="F196" s="120">
        <f>ROUND(VLOOKUP(A196,'Contribution Allocation_Report'!$A$9:$D$311,4,FALSE)*'OPEB Amounts_Report'!$F$326,0)</f>
        <v>167930</v>
      </c>
      <c r="G196" s="120">
        <f>INDEX('Change in Proportion Layers'!$AC$8:$AC$324,MATCH('OPEB Amounts_Report'!A196,'Change in Proportion Layers'!$A$8:$A$324,0))</f>
        <v>98534</v>
      </c>
      <c r="H196" s="120">
        <f t="shared" si="7"/>
        <v>290406</v>
      </c>
      <c r="I196" s="120"/>
      <c r="J196" s="120">
        <f>ROUND(VLOOKUP(A196,'Contribution Allocation_Report'!$A$9:$D$311,4,FALSE)*'OPEB Amounts_Report'!$J$326,0)</f>
        <v>116652</v>
      </c>
      <c r="K196" s="120">
        <f>ROUND(VLOOKUP(A196,'Contribution Allocation_Report'!$A$9:$D$311,4,FALSE)*'OPEB Amounts_Report'!$K$326,0)</f>
        <v>583405</v>
      </c>
      <c r="L196" s="120">
        <f>INDEX('Change in Proportion Layers'!$AD$8:$AD$324,MATCH('OPEB Amounts_Report'!A196,'Change in Proportion Layers'!$A$8:$A$324,0))</f>
        <v>50666</v>
      </c>
      <c r="M196" s="120">
        <f t="shared" si="6"/>
        <v>750723</v>
      </c>
      <c r="N196" s="121"/>
      <c r="O196" s="121">
        <f>ROUND(VLOOKUP(A196,'Contribution Allocation_Report'!$A$9:$D$311,4,FALSE)*'OPEB Amounts_Report'!$O$326,0)</f>
        <v>-165567</v>
      </c>
      <c r="P196" s="121">
        <f>INDEX('Change in Proportion Layers'!$AA$8:$AA$324,MATCH('OPEB Amounts_Report'!A196,'Change in Proportion Layers'!$A$8:$A$324,0))</f>
        <v>27560</v>
      </c>
      <c r="Q196" s="121">
        <f t="shared" si="8"/>
        <v>-138007</v>
      </c>
    </row>
    <row r="197" spans="1:17" ht="12" customHeight="1">
      <c r="A197" s="166">
        <v>29150</v>
      </c>
      <c r="B197" s="167" t="s">
        <v>185</v>
      </c>
      <c r="C197" s="122">
        <f>ROUND(VLOOKUP(A197,'Contribution Allocation_Report'!$A$9:$D$311,4,FALSE)*'OPEB Amounts_Report'!$C$326,0)</f>
        <v>198608</v>
      </c>
      <c r="D197" s="122">
        <f>ROUND(VLOOKUP(A197,'Contribution Allocation_Report'!$A$9:$D$311,4,FALSE)*'OPEB Amounts_Report'!$D$326,0)</f>
        <v>3303</v>
      </c>
      <c r="E197" s="122">
        <f>ROUND(VLOOKUP(A197,'Contribution Allocation_Report'!$A$9:$D$311,4,FALSE)*'OPEB Amounts_Report'!$E$326,0)</f>
        <v>2739</v>
      </c>
      <c r="F197" s="122">
        <f>ROUND(VLOOKUP(A197,'Contribution Allocation_Report'!$A$9:$D$311,4,FALSE)*'OPEB Amounts_Report'!$F$326,0)</f>
        <v>42378</v>
      </c>
      <c r="G197" s="122">
        <f>INDEX('Change in Proportion Layers'!$AC$8:$AC$324,MATCH('OPEB Amounts_Report'!A197,'Change in Proportion Layers'!$A$8:$A$324,0))</f>
        <v>31371</v>
      </c>
      <c r="H197" s="122">
        <f t="shared" si="7"/>
        <v>79791</v>
      </c>
      <c r="I197" s="122"/>
      <c r="J197" s="122">
        <f>ROUND(VLOOKUP(A197,'Contribution Allocation_Report'!$A$9:$D$311,4,FALSE)*'OPEB Amounts_Report'!$J$326,0)</f>
        <v>29438</v>
      </c>
      <c r="K197" s="122">
        <f>ROUND(VLOOKUP(A197,'Contribution Allocation_Report'!$A$9:$D$311,4,FALSE)*'OPEB Amounts_Report'!$K$326,0)</f>
        <v>147226</v>
      </c>
      <c r="L197" s="131">
        <f>INDEX('Change in Proportion Layers'!$AD$8:$AD$324,MATCH('OPEB Amounts_Report'!A197,'Change in Proportion Layers'!$A$8:$A$324,0))</f>
        <v>121402</v>
      </c>
      <c r="M197" s="122">
        <f t="shared" si="6"/>
        <v>298066</v>
      </c>
      <c r="N197" s="123"/>
      <c r="O197" s="123">
        <f>ROUND(VLOOKUP(A197,'Contribution Allocation_Report'!$A$9:$D$311,4,FALSE)*'OPEB Amounts_Report'!$O$326,0)</f>
        <v>-41782</v>
      </c>
      <c r="P197" s="123">
        <f>INDEX('Change in Proportion Layers'!$AA$8:$AA$324,MATCH('OPEB Amounts_Report'!A197,'Change in Proportion Layers'!$A$8:$A$324,0))</f>
        <v>11146</v>
      </c>
      <c r="Q197" s="123">
        <f t="shared" si="8"/>
        <v>-30636</v>
      </c>
    </row>
    <row r="198" spans="1:17" ht="12" customHeight="1">
      <c r="A198" s="164">
        <v>32118</v>
      </c>
      <c r="B198" s="168" t="s">
        <v>187</v>
      </c>
      <c r="C198" s="120">
        <f>ROUND(VLOOKUP(A198,'Contribution Allocation_Report'!$A$9:$D$311,4,FALSE)*'OPEB Amounts_Report'!$C$326,0)</f>
        <v>2385595</v>
      </c>
      <c r="D198" s="120">
        <f>ROUND(VLOOKUP(A198,'Contribution Allocation_Report'!$A$9:$D$311,4,FALSE)*'OPEB Amounts_Report'!$D$326,0)</f>
        <v>39679</v>
      </c>
      <c r="E198" s="120">
        <f>ROUND(VLOOKUP(A198,'Contribution Allocation_Report'!$A$9:$D$311,4,FALSE)*'OPEB Amounts_Report'!$E$326,0)</f>
        <v>32895</v>
      </c>
      <c r="F198" s="120">
        <f>ROUND(VLOOKUP(A198,'Contribution Allocation_Report'!$A$9:$D$311,4,FALSE)*'OPEB Amounts_Report'!$F$326,0)</f>
        <v>509029</v>
      </c>
      <c r="G198" s="120">
        <f>INDEX('Change in Proportion Layers'!$AC$8:$AC$324,MATCH('OPEB Amounts_Report'!A198,'Change in Proportion Layers'!$A$8:$A$324,0))</f>
        <v>2372756</v>
      </c>
      <c r="H198" s="120">
        <f t="shared" si="7"/>
        <v>2954359</v>
      </c>
      <c r="I198" s="120"/>
      <c r="J198" s="120">
        <f>ROUND(VLOOKUP(A198,'Contribution Allocation_Report'!$A$9:$D$311,4,FALSE)*'OPEB Amounts_Report'!$J$326,0)</f>
        <v>353596</v>
      </c>
      <c r="K198" s="120">
        <f>ROUND(VLOOKUP(A198,'Contribution Allocation_Report'!$A$9:$D$311,4,FALSE)*'OPEB Amounts_Report'!$K$326,0)</f>
        <v>1768415</v>
      </c>
      <c r="L198" s="130">
        <f>INDEX('Change in Proportion Layers'!$AD$8:$AD$324,MATCH('OPEB Amounts_Report'!A198,'Change in Proportion Layers'!$A$8:$A$324,0))</f>
        <v>0</v>
      </c>
      <c r="M198" s="120">
        <f t="shared" si="6"/>
        <v>2122011</v>
      </c>
      <c r="N198" s="121"/>
      <c r="O198" s="121">
        <f>ROUND(VLOOKUP(A198,'Contribution Allocation_Report'!$A$9:$D$311,4,FALSE)*'OPEB Amounts_Report'!$O$326,0)</f>
        <v>-501866</v>
      </c>
      <c r="P198" s="121">
        <f>INDEX('Change in Proportion Layers'!$AA$8:$AA$324,MATCH('OPEB Amounts_Report'!A198,'Change in Proportion Layers'!$A$8:$A$324,0))</f>
        <v>754122</v>
      </c>
      <c r="Q198" s="121">
        <f t="shared" si="8"/>
        <v>252256</v>
      </c>
    </row>
    <row r="199" spans="1:17" ht="12" customHeight="1">
      <c r="A199" s="166">
        <v>12039</v>
      </c>
      <c r="B199" s="167" t="s">
        <v>188</v>
      </c>
      <c r="C199" s="122">
        <f>ROUND(VLOOKUP(A199,'Contribution Allocation_Report'!$A$9:$D$311,4,FALSE)*'OPEB Amounts_Report'!$C$326,0)</f>
        <v>2009541</v>
      </c>
      <c r="D199" s="122">
        <f>ROUND(VLOOKUP(A199,'Contribution Allocation_Report'!$A$9:$D$311,4,FALSE)*'OPEB Amounts_Report'!$D$326,0)</f>
        <v>33425</v>
      </c>
      <c r="E199" s="122">
        <f>ROUND(VLOOKUP(A199,'Contribution Allocation_Report'!$A$9:$D$311,4,FALSE)*'OPEB Amounts_Report'!$E$326,0)</f>
        <v>27710</v>
      </c>
      <c r="F199" s="122">
        <f>ROUND(VLOOKUP(A199,'Contribution Allocation_Report'!$A$9:$D$311,4,FALSE)*'OPEB Amounts_Report'!$F$326,0)</f>
        <v>428788</v>
      </c>
      <c r="G199" s="122">
        <f>INDEX('Change in Proportion Layers'!$AC$8:$AC$324,MATCH('OPEB Amounts_Report'!A199,'Change in Proportion Layers'!$A$8:$A$324,0))</f>
        <v>10184</v>
      </c>
      <c r="H199" s="122">
        <f t="shared" si="7"/>
        <v>500107</v>
      </c>
      <c r="I199" s="122"/>
      <c r="J199" s="122">
        <f>ROUND(VLOOKUP(A199,'Contribution Allocation_Report'!$A$9:$D$311,4,FALSE)*'OPEB Amounts_Report'!$J$326,0)</f>
        <v>297857</v>
      </c>
      <c r="K199" s="122">
        <f>ROUND(VLOOKUP(A199,'Contribution Allocation_Report'!$A$9:$D$311,4,FALSE)*'OPEB Amounts_Report'!$K$326,0)</f>
        <v>1489650</v>
      </c>
      <c r="L199" s="131">
        <f>INDEX('Change in Proportion Layers'!$AD$8:$AD$324,MATCH('OPEB Amounts_Report'!A199,'Change in Proportion Layers'!$A$8:$A$324,0))</f>
        <v>350245</v>
      </c>
      <c r="M199" s="122">
        <f t="shared" si="6"/>
        <v>2137752</v>
      </c>
      <c r="N199" s="123"/>
      <c r="O199" s="123">
        <f>ROUND(VLOOKUP(A199,'Contribution Allocation_Report'!$A$9:$D$311,4,FALSE)*'OPEB Amounts_Report'!$O$326,0)</f>
        <v>-422754</v>
      </c>
      <c r="P199" s="123">
        <f>INDEX('Change in Proportion Layers'!$AA$8:$AA$324,MATCH('OPEB Amounts_Report'!A199,'Change in Proportion Layers'!$A$8:$A$324,0))</f>
        <v>-101634</v>
      </c>
      <c r="Q199" s="123">
        <f t="shared" si="8"/>
        <v>-524388</v>
      </c>
    </row>
    <row r="200" spans="1:17" ht="12" customHeight="1">
      <c r="A200" s="164">
        <v>12150</v>
      </c>
      <c r="B200" s="168" t="s">
        <v>189</v>
      </c>
      <c r="C200" s="120">
        <f>ROUND(VLOOKUP(A200,'Contribution Allocation_Report'!$A$9:$D$311,4,FALSE)*'OPEB Amounts_Report'!$C$326,0)</f>
        <v>375690</v>
      </c>
      <c r="D200" s="120">
        <f>ROUND(VLOOKUP(A200,'Contribution Allocation_Report'!$A$9:$D$311,4,FALSE)*'OPEB Amounts_Report'!$D$326,0)</f>
        <v>6249</v>
      </c>
      <c r="E200" s="120">
        <f>ROUND(VLOOKUP(A200,'Contribution Allocation_Report'!$A$9:$D$311,4,FALSE)*'OPEB Amounts_Report'!$E$326,0)</f>
        <v>5180</v>
      </c>
      <c r="F200" s="120">
        <f>ROUND(VLOOKUP(A200,'Contribution Allocation_Report'!$A$9:$D$311,4,FALSE)*'OPEB Amounts_Report'!$F$326,0)</f>
        <v>80163</v>
      </c>
      <c r="G200" s="120">
        <f>INDEX('Change in Proportion Layers'!$AC$8:$AC$324,MATCH('OPEB Amounts_Report'!A200,'Change in Proportion Layers'!$A$8:$A$324,0))</f>
        <v>80708</v>
      </c>
      <c r="H200" s="120">
        <f t="shared" si="7"/>
        <v>172300</v>
      </c>
      <c r="I200" s="120"/>
      <c r="J200" s="120">
        <f>ROUND(VLOOKUP(A200,'Contribution Allocation_Report'!$A$9:$D$311,4,FALSE)*'OPEB Amounts_Report'!$J$326,0)</f>
        <v>55685</v>
      </c>
      <c r="K200" s="120">
        <f>ROUND(VLOOKUP(A200,'Contribution Allocation_Report'!$A$9:$D$311,4,FALSE)*'OPEB Amounts_Report'!$K$326,0)</f>
        <v>278494</v>
      </c>
      <c r="L200" s="130">
        <f>INDEX('Change in Proportion Layers'!$AD$8:$AD$324,MATCH('OPEB Amounts_Report'!A200,'Change in Proportion Layers'!$A$8:$A$324,0))</f>
        <v>88101</v>
      </c>
      <c r="M200" s="120">
        <f t="shared" si="6"/>
        <v>422280</v>
      </c>
      <c r="N200" s="121"/>
      <c r="O200" s="121">
        <f>ROUND(VLOOKUP(A200,'Contribution Allocation_Report'!$A$9:$D$311,4,FALSE)*'OPEB Amounts_Report'!$O$326,0)</f>
        <v>-79035</v>
      </c>
      <c r="P200" s="121">
        <f>INDEX('Change in Proportion Layers'!$AA$8:$AA$324,MATCH('OPEB Amounts_Report'!A200,'Change in Proportion Layers'!$A$8:$A$324,0))</f>
        <v>39936</v>
      </c>
      <c r="Q200" s="121">
        <f t="shared" si="8"/>
        <v>-39099</v>
      </c>
    </row>
    <row r="201" spans="1:17" ht="12" customHeight="1">
      <c r="A201" s="166">
        <v>20060</v>
      </c>
      <c r="B201" s="167" t="s">
        <v>190</v>
      </c>
      <c r="C201" s="122">
        <f>ROUND(VLOOKUP(A201,'Contribution Allocation_Report'!$A$9:$D$311,4,FALSE)*'OPEB Amounts_Report'!$C$326,0)</f>
        <v>1532909</v>
      </c>
      <c r="D201" s="122">
        <f>ROUND(VLOOKUP(A201,'Contribution Allocation_Report'!$A$9:$D$311,4,FALSE)*'OPEB Amounts_Report'!$D$326,0)</f>
        <v>25497</v>
      </c>
      <c r="E201" s="122">
        <f>ROUND(VLOOKUP(A201,'Contribution Allocation_Report'!$A$9:$D$311,4,FALSE)*'OPEB Amounts_Report'!$E$326,0)</f>
        <v>21137</v>
      </c>
      <c r="F201" s="122">
        <f>ROUND(VLOOKUP(A201,'Contribution Allocation_Report'!$A$9:$D$311,4,FALSE)*'OPEB Amounts_Report'!$F$326,0)</f>
        <v>327086</v>
      </c>
      <c r="G201" s="122">
        <f>INDEX('Change in Proportion Layers'!$AC$8:$AC$324,MATCH('OPEB Amounts_Report'!A201,'Change in Proportion Layers'!$A$8:$A$324,0))</f>
        <v>409912</v>
      </c>
      <c r="H201" s="122">
        <f t="shared" si="7"/>
        <v>783632</v>
      </c>
      <c r="I201" s="122"/>
      <c r="J201" s="122">
        <f>ROUND(VLOOKUP(A201,'Contribution Allocation_Report'!$A$9:$D$311,4,FALSE)*'OPEB Amounts_Report'!$J$326,0)</f>
        <v>227210</v>
      </c>
      <c r="K201" s="122">
        <f>ROUND(VLOOKUP(A201,'Contribution Allocation_Report'!$A$9:$D$311,4,FALSE)*'OPEB Amounts_Report'!$K$326,0)</f>
        <v>1136328</v>
      </c>
      <c r="L201" s="131">
        <f>INDEX('Change in Proportion Layers'!$AD$8:$AD$324,MATCH('OPEB Amounts_Report'!A201,'Change in Proportion Layers'!$A$8:$A$324,0))</f>
        <v>477771</v>
      </c>
      <c r="M201" s="122">
        <f t="shared" si="6"/>
        <v>1841309</v>
      </c>
      <c r="N201" s="123"/>
      <c r="O201" s="123">
        <f>ROUND(VLOOKUP(A201,'Contribution Allocation_Report'!$A$9:$D$311,4,FALSE)*'OPEB Amounts_Report'!$O$326,0)</f>
        <v>-322484</v>
      </c>
      <c r="P201" s="123">
        <f>INDEX('Change in Proportion Layers'!$AA$8:$AA$324,MATCH('OPEB Amounts_Report'!A201,'Change in Proportion Layers'!$A$8:$A$324,0))</f>
        <v>151849</v>
      </c>
      <c r="Q201" s="123">
        <f t="shared" si="8"/>
        <v>-170635</v>
      </c>
    </row>
    <row r="202" spans="1:17" ht="12" customHeight="1">
      <c r="A202" s="164">
        <v>1001</v>
      </c>
      <c r="B202" s="165" t="s">
        <v>191</v>
      </c>
      <c r="C202" s="126">
        <f>ROUND(VLOOKUP(A202,'Contribution Allocation_Report'!$A$9:$D$311,4,FALSE)*'OPEB Amounts_Report'!$C$326,0)</f>
        <v>4478489</v>
      </c>
      <c r="D202" s="126">
        <f>ROUND(VLOOKUP(A202,'Contribution Allocation_Report'!$A$9:$D$311,4,FALSE)*'OPEB Amounts_Report'!$D$326,0)</f>
        <v>74490</v>
      </c>
      <c r="E202" s="126">
        <f>ROUND(VLOOKUP(A202,'Contribution Allocation_Report'!$A$9:$D$311,4,FALSE)*'OPEB Amounts_Report'!$E$326,0)</f>
        <v>61754</v>
      </c>
      <c r="F202" s="126">
        <f>ROUND(VLOOKUP(A202,'Contribution Allocation_Report'!$A$9:$D$311,4,FALSE)*'OPEB Amounts_Report'!$F$326,0)</f>
        <v>955603</v>
      </c>
      <c r="G202" s="126">
        <f>INDEX('Change in Proportion Layers'!$AC$8:$AC$324,MATCH('OPEB Amounts_Report'!A202,'Change in Proportion Layers'!$A$8:$A$324,0))</f>
        <v>1044889</v>
      </c>
      <c r="H202" s="126">
        <f t="shared" si="7"/>
        <v>2136736</v>
      </c>
      <c r="I202" s="126"/>
      <c r="J202" s="126">
        <f>ROUND(VLOOKUP(A202,'Contribution Allocation_Report'!$A$9:$D$311,4,FALSE)*'OPEB Amounts_Report'!$J$326,0)</f>
        <v>663807</v>
      </c>
      <c r="K202" s="126">
        <f>ROUND(VLOOKUP(A202,'Contribution Allocation_Report'!$A$9:$D$311,4,FALSE)*'OPEB Amounts_Report'!$K$326,0)</f>
        <v>3319853</v>
      </c>
      <c r="L202" s="128">
        <f>INDEX('Change in Proportion Layers'!$AD$8:$AD$324,MATCH('OPEB Amounts_Report'!A202,'Change in Proportion Layers'!$A$8:$A$324,0))</f>
        <v>2143964</v>
      </c>
      <c r="M202" s="126">
        <f t="shared" ref="M202:M265" si="9">SUM(J202:L202)</f>
        <v>6127624</v>
      </c>
      <c r="N202" s="127"/>
      <c r="O202" s="127">
        <f>ROUND(VLOOKUP(A202,'Contribution Allocation_Report'!$A$9:$D$311,4,FALSE)*'OPEB Amounts_Report'!$O$326,0)</f>
        <v>-942156</v>
      </c>
      <c r="P202" s="127">
        <f>INDEX('Change in Proportion Layers'!$AA$8:$AA$324,MATCH('OPEB Amounts_Report'!A202,'Change in Proportion Layers'!$A$8:$A$324,0))</f>
        <v>-160276</v>
      </c>
      <c r="Q202" s="127">
        <f t="shared" si="8"/>
        <v>-1102432</v>
      </c>
    </row>
    <row r="203" spans="1:17" ht="12" customHeight="1">
      <c r="A203" s="166">
        <v>11035</v>
      </c>
      <c r="B203" s="167" t="s">
        <v>192</v>
      </c>
      <c r="C203" s="122">
        <f>ROUND(VLOOKUP(A203,'Contribution Allocation_Report'!$A$9:$D$311,4,FALSE)*'OPEB Amounts_Report'!$C$326,0)</f>
        <v>9024971</v>
      </c>
      <c r="D203" s="122">
        <f>ROUND(VLOOKUP(A203,'Contribution Allocation_Report'!$A$9:$D$311,4,FALSE)*'OPEB Amounts_Report'!$D$326,0)</f>
        <v>150112</v>
      </c>
      <c r="E203" s="122">
        <f>ROUND(VLOOKUP(A203,'Contribution Allocation_Report'!$A$9:$D$311,4,FALSE)*'OPEB Amounts_Report'!$E$326,0)</f>
        <v>124446</v>
      </c>
      <c r="F203" s="122">
        <f>ROUND(VLOOKUP(A203,'Contribution Allocation_Report'!$A$9:$D$311,4,FALSE)*'OPEB Amounts_Report'!$F$326,0)</f>
        <v>1925715</v>
      </c>
      <c r="G203" s="122">
        <f>INDEX('Change in Proportion Layers'!$AC$8:$AC$324,MATCH('OPEB Amounts_Report'!A203,'Change in Proportion Layers'!$A$8:$A$324,0))</f>
        <v>1173031</v>
      </c>
      <c r="H203" s="122">
        <f t="shared" ref="H203:H266" si="10">SUM(D203:G203)</f>
        <v>3373304</v>
      </c>
      <c r="I203" s="122"/>
      <c r="J203" s="122">
        <f>ROUND(VLOOKUP(A203,'Contribution Allocation_Report'!$A$9:$D$311,4,FALSE)*'OPEB Amounts_Report'!$J$326,0)</f>
        <v>1337692</v>
      </c>
      <c r="K203" s="122">
        <f>ROUND(VLOOKUP(A203,'Contribution Allocation_Report'!$A$9:$D$311,4,FALSE)*'OPEB Amounts_Report'!$K$326,0)</f>
        <v>6690109</v>
      </c>
      <c r="L203" s="122">
        <f>INDEX('Change in Proportion Layers'!$AD$8:$AD$324,MATCH('OPEB Amounts_Report'!A203,'Change in Proportion Layers'!$A$8:$A$324,0))</f>
        <v>315160</v>
      </c>
      <c r="M203" s="122">
        <f t="shared" si="9"/>
        <v>8342961</v>
      </c>
      <c r="N203" s="123"/>
      <c r="O203" s="123">
        <f>ROUND(VLOOKUP(A203,'Contribution Allocation_Report'!$A$9:$D$311,4,FALSE)*'OPEB Amounts_Report'!$O$326,0)</f>
        <v>-1898615</v>
      </c>
      <c r="P203" s="123">
        <f>INDEX('Change in Proportion Layers'!$AA$8:$AA$324,MATCH('OPEB Amounts_Report'!A203,'Change in Proportion Layers'!$A$8:$A$324,0))</f>
        <v>331785</v>
      </c>
      <c r="Q203" s="123">
        <f t="shared" ref="Q203:Q266" si="11">+O203+P203</f>
        <v>-1566830</v>
      </c>
    </row>
    <row r="204" spans="1:17" ht="12" customHeight="1">
      <c r="A204" s="164">
        <v>2320</v>
      </c>
      <c r="B204" s="168" t="s">
        <v>193</v>
      </c>
      <c r="C204" s="120">
        <f>ROUND(VLOOKUP(A204,'Contribution Allocation_Report'!$A$9:$D$311,4,FALSE)*'OPEB Amounts_Report'!$C$326,0)</f>
        <v>1048381</v>
      </c>
      <c r="D204" s="120">
        <f>ROUND(VLOOKUP(A204,'Contribution Allocation_Report'!$A$9:$D$311,4,FALSE)*'OPEB Amounts_Report'!$D$326,0)</f>
        <v>17438</v>
      </c>
      <c r="E204" s="120">
        <f>ROUND(VLOOKUP(A204,'Contribution Allocation_Report'!$A$9:$D$311,4,FALSE)*'OPEB Amounts_Report'!$E$326,0)</f>
        <v>14456</v>
      </c>
      <c r="F204" s="120">
        <f>ROUND(VLOOKUP(A204,'Contribution Allocation_Report'!$A$9:$D$311,4,FALSE)*'OPEB Amounts_Report'!$F$326,0)</f>
        <v>223700</v>
      </c>
      <c r="G204" s="120">
        <f>INDEX('Change in Proportion Layers'!$AC$8:$AC$324,MATCH('OPEB Amounts_Report'!A204,'Change in Proportion Layers'!$A$8:$A$324,0))</f>
        <v>54879</v>
      </c>
      <c r="H204" s="120">
        <f t="shared" si="10"/>
        <v>310473</v>
      </c>
      <c r="I204" s="120"/>
      <c r="J204" s="120">
        <f>ROUND(VLOOKUP(A204,'Contribution Allocation_Report'!$A$9:$D$311,4,FALSE)*'OPEB Amounts_Report'!$J$326,0)</f>
        <v>155392</v>
      </c>
      <c r="K204" s="120">
        <f>ROUND(VLOOKUP(A204,'Contribution Allocation_Report'!$A$9:$D$311,4,FALSE)*'OPEB Amounts_Report'!$K$326,0)</f>
        <v>777153</v>
      </c>
      <c r="L204" s="120">
        <f>INDEX('Change in Proportion Layers'!$AD$8:$AD$324,MATCH('OPEB Amounts_Report'!A204,'Change in Proportion Layers'!$A$8:$A$324,0))</f>
        <v>107336</v>
      </c>
      <c r="M204" s="120">
        <f t="shared" si="9"/>
        <v>1039881</v>
      </c>
      <c r="N204" s="121"/>
      <c r="O204" s="121">
        <f>ROUND(VLOOKUP(A204,'Contribution Allocation_Report'!$A$9:$D$311,4,FALSE)*'OPEB Amounts_Report'!$O$326,0)</f>
        <v>-220552</v>
      </c>
      <c r="P204" s="121">
        <f>INDEX('Change in Proportion Layers'!$AA$8:$AA$324,MATCH('OPEB Amounts_Report'!A204,'Change in Proportion Layers'!$A$8:$A$324,0))</f>
        <v>-15195</v>
      </c>
      <c r="Q204" s="121">
        <f t="shared" si="11"/>
        <v>-235747</v>
      </c>
    </row>
    <row r="205" spans="1:17" ht="12" customHeight="1">
      <c r="A205" s="166">
        <v>28084</v>
      </c>
      <c r="B205" s="167" t="s">
        <v>194</v>
      </c>
      <c r="C205" s="122">
        <f>ROUND(VLOOKUP(A205,'Contribution Allocation_Report'!$A$9:$D$311,4,FALSE)*'OPEB Amounts_Report'!$C$326,0)</f>
        <v>898105</v>
      </c>
      <c r="D205" s="122">
        <f>ROUND(VLOOKUP(A205,'Contribution Allocation_Report'!$A$9:$D$311,4,FALSE)*'OPEB Amounts_Report'!$D$326,0)</f>
        <v>14938</v>
      </c>
      <c r="E205" s="122">
        <f>ROUND(VLOOKUP(A205,'Contribution Allocation_Report'!$A$9:$D$311,4,FALSE)*'OPEB Amounts_Report'!$E$326,0)</f>
        <v>12384</v>
      </c>
      <c r="F205" s="122">
        <f>ROUND(VLOOKUP(A205,'Contribution Allocation_Report'!$A$9:$D$311,4,FALSE)*'OPEB Amounts_Report'!$F$326,0)</f>
        <v>191634</v>
      </c>
      <c r="G205" s="122">
        <f>INDEX('Change in Proportion Layers'!$AC$8:$AC$324,MATCH('OPEB Amounts_Report'!A205,'Change in Proportion Layers'!$A$8:$A$324,0))</f>
        <v>111344</v>
      </c>
      <c r="H205" s="122">
        <f t="shared" si="10"/>
        <v>330300</v>
      </c>
      <c r="I205" s="122"/>
      <c r="J205" s="122">
        <f>ROUND(VLOOKUP(A205,'Contribution Allocation_Report'!$A$9:$D$311,4,FALSE)*'OPEB Amounts_Report'!$J$326,0)</f>
        <v>133118</v>
      </c>
      <c r="K205" s="122">
        <f>ROUND(VLOOKUP(A205,'Contribution Allocation_Report'!$A$9:$D$311,4,FALSE)*'OPEB Amounts_Report'!$K$326,0)</f>
        <v>665755</v>
      </c>
      <c r="L205" s="122">
        <f>INDEX('Change in Proportion Layers'!$AD$8:$AD$324,MATCH('OPEB Amounts_Report'!A205,'Change in Proportion Layers'!$A$8:$A$324,0))</f>
        <v>17344</v>
      </c>
      <c r="M205" s="122">
        <f t="shared" si="9"/>
        <v>816217</v>
      </c>
      <c r="N205" s="123"/>
      <c r="O205" s="123">
        <f>ROUND(VLOOKUP(A205,'Contribution Allocation_Report'!$A$9:$D$311,4,FALSE)*'OPEB Amounts_Report'!$O$326,0)</f>
        <v>-188938</v>
      </c>
      <c r="P205" s="123">
        <f>INDEX('Change in Proportion Layers'!$AA$8:$AA$324,MATCH('OPEB Amounts_Report'!A205,'Change in Proportion Layers'!$A$8:$A$324,0))</f>
        <v>26907</v>
      </c>
      <c r="Q205" s="123">
        <f t="shared" si="11"/>
        <v>-162031</v>
      </c>
    </row>
    <row r="206" spans="1:17" ht="12" customHeight="1">
      <c r="A206" s="164">
        <v>20125</v>
      </c>
      <c r="B206" s="168" t="s">
        <v>195</v>
      </c>
      <c r="C206" s="120">
        <f>ROUND(VLOOKUP(A206,'Contribution Allocation_Report'!$A$9:$D$311,4,FALSE)*'OPEB Amounts_Report'!$C$326,0)</f>
        <v>1120060</v>
      </c>
      <c r="D206" s="120">
        <f>ROUND(VLOOKUP(A206,'Contribution Allocation_Report'!$A$9:$D$311,4,FALSE)*'OPEB Amounts_Report'!$D$326,0)</f>
        <v>18630</v>
      </c>
      <c r="E206" s="120">
        <f>ROUND(VLOOKUP(A206,'Contribution Allocation_Report'!$A$9:$D$311,4,FALSE)*'OPEB Amounts_Report'!$E$326,0)</f>
        <v>15445</v>
      </c>
      <c r="F206" s="120">
        <f>ROUND(VLOOKUP(A206,'Contribution Allocation_Report'!$A$9:$D$311,4,FALSE)*'OPEB Amounts_Report'!$F$326,0)</f>
        <v>238994</v>
      </c>
      <c r="G206" s="120">
        <f>INDEX('Change in Proportion Layers'!$AC$8:$AC$324,MATCH('OPEB Amounts_Report'!A206,'Change in Proportion Layers'!$A$8:$A$324,0))</f>
        <v>155478</v>
      </c>
      <c r="H206" s="120">
        <f t="shared" si="10"/>
        <v>428547</v>
      </c>
      <c r="I206" s="120"/>
      <c r="J206" s="120">
        <f>ROUND(VLOOKUP(A206,'Contribution Allocation_Report'!$A$9:$D$311,4,FALSE)*'OPEB Amounts_Report'!$J$326,0)</f>
        <v>166017</v>
      </c>
      <c r="K206" s="120">
        <f>ROUND(VLOOKUP(A206,'Contribution Allocation_Report'!$A$9:$D$311,4,FALSE)*'OPEB Amounts_Report'!$K$326,0)</f>
        <v>830288</v>
      </c>
      <c r="L206" s="120">
        <f>INDEX('Change in Proportion Layers'!$AD$8:$AD$324,MATCH('OPEB Amounts_Report'!A206,'Change in Proportion Layers'!$A$8:$A$324,0))</f>
        <v>498501</v>
      </c>
      <c r="M206" s="120">
        <f t="shared" si="9"/>
        <v>1494806</v>
      </c>
      <c r="N206" s="121"/>
      <c r="O206" s="121">
        <f>ROUND(VLOOKUP(A206,'Contribution Allocation_Report'!$A$9:$D$311,4,FALSE)*'OPEB Amounts_Report'!$O$326,0)</f>
        <v>-235631</v>
      </c>
      <c r="P206" s="121">
        <f>INDEX('Change in Proportion Layers'!$AA$8:$AA$324,MATCH('OPEB Amounts_Report'!A206,'Change in Proportion Layers'!$A$8:$A$324,0))</f>
        <v>-167923</v>
      </c>
      <c r="Q206" s="121">
        <f t="shared" si="11"/>
        <v>-403554</v>
      </c>
    </row>
    <row r="207" spans="1:17" ht="12" customHeight="1">
      <c r="A207" s="166">
        <v>7445</v>
      </c>
      <c r="B207" s="167" t="s">
        <v>428</v>
      </c>
      <c r="C207" s="122">
        <f>ROUND(VLOOKUP(A207,'Contribution Allocation_Report'!$A$9:$D$311,4,FALSE)*'OPEB Amounts_Report'!$C$326,0)</f>
        <v>301689</v>
      </c>
      <c r="D207" s="122">
        <f>ROUND(VLOOKUP(A207,'Contribution Allocation_Report'!$A$9:$D$311,4,FALSE)*'OPEB Amounts_Report'!$D$326,0)</f>
        <v>5018</v>
      </c>
      <c r="E207" s="122">
        <f>ROUND(VLOOKUP(A207,'Contribution Allocation_Report'!$A$9:$D$311,4,FALSE)*'OPEB Amounts_Report'!$E$326,0)</f>
        <v>4160</v>
      </c>
      <c r="F207" s="122">
        <f>ROUND(VLOOKUP(A207,'Contribution Allocation_Report'!$A$9:$D$311,4,FALSE)*'OPEB Amounts_Report'!$F$326,0)</f>
        <v>64373</v>
      </c>
      <c r="G207" s="122">
        <f>INDEX('Change in Proportion Layers'!$AC$8:$AC$324,MATCH('OPEB Amounts_Report'!A207,'Change in Proportion Layers'!$A$8:$A$324,0))</f>
        <v>398177</v>
      </c>
      <c r="H207" s="122">
        <f t="shared" si="10"/>
        <v>471728</v>
      </c>
      <c r="I207" s="122"/>
      <c r="J207" s="122">
        <f>ROUND(VLOOKUP(A207,'Contribution Allocation_Report'!$A$9:$D$311,4,FALSE)*'OPEB Amounts_Report'!$J$326,0)</f>
        <v>44717</v>
      </c>
      <c r="K207" s="122">
        <f>ROUND(VLOOKUP(A207,'Contribution Allocation_Report'!$A$9:$D$311,4,FALSE)*'OPEB Amounts_Report'!$K$326,0)</f>
        <v>223639</v>
      </c>
      <c r="L207" s="122">
        <f>INDEX('Change in Proportion Layers'!$AD$8:$AD$324,MATCH('OPEB Amounts_Report'!A207,'Change in Proportion Layers'!$A$8:$A$324,0))</f>
        <v>0</v>
      </c>
      <c r="M207" s="122">
        <f t="shared" si="9"/>
        <v>268356</v>
      </c>
      <c r="N207" s="123"/>
      <c r="O207" s="123">
        <f>ROUND(VLOOKUP(A207,'Contribution Allocation_Report'!$A$9:$D$311,4,FALSE)*'OPEB Amounts_Report'!$O$326,0)</f>
        <v>-63467</v>
      </c>
      <c r="P207" s="123">
        <f>INDEX('Change in Proportion Layers'!$AA$8:$AA$324,MATCH('OPEB Amounts_Report'!A207,'Change in Proportion Layers'!$A$8:$A$324,0))</f>
        <v>106378</v>
      </c>
      <c r="Q207" s="123">
        <f t="shared" si="11"/>
        <v>42911</v>
      </c>
    </row>
    <row r="208" spans="1:17" ht="12" customHeight="1">
      <c r="A208" s="164">
        <v>9029</v>
      </c>
      <c r="B208" s="168" t="s">
        <v>197</v>
      </c>
      <c r="C208" s="120">
        <f>ROUND(VLOOKUP(A208,'Contribution Allocation_Report'!$A$9:$D$311,4,FALSE)*'OPEB Amounts_Report'!$C$326,0)</f>
        <v>2694748</v>
      </c>
      <c r="D208" s="120">
        <f>ROUND(VLOOKUP(A208,'Contribution Allocation_Report'!$A$9:$D$311,4,FALSE)*'OPEB Amounts_Report'!$D$326,0)</f>
        <v>44822</v>
      </c>
      <c r="E208" s="120">
        <f>ROUND(VLOOKUP(A208,'Contribution Allocation_Report'!$A$9:$D$311,4,FALSE)*'OPEB Amounts_Report'!$E$326,0)</f>
        <v>37158</v>
      </c>
      <c r="F208" s="120">
        <f>ROUND(VLOOKUP(A208,'Contribution Allocation_Report'!$A$9:$D$311,4,FALSE)*'OPEB Amounts_Report'!$F$326,0)</f>
        <v>574995</v>
      </c>
      <c r="G208" s="130">
        <f>INDEX('Change in Proportion Layers'!$AC$8:$AC$324,MATCH('OPEB Amounts_Report'!A208,'Change in Proportion Layers'!$A$8:$A$324,0))</f>
        <v>574004</v>
      </c>
      <c r="H208" s="120">
        <f t="shared" si="10"/>
        <v>1230979</v>
      </c>
      <c r="I208" s="120"/>
      <c r="J208" s="120">
        <f>ROUND(VLOOKUP(A208,'Contribution Allocation_Report'!$A$9:$D$311,4,FALSE)*'OPEB Amounts_Report'!$J$326,0)</f>
        <v>399419</v>
      </c>
      <c r="K208" s="120">
        <f>ROUND(VLOOKUP(A208,'Contribution Allocation_Report'!$A$9:$D$311,4,FALSE)*'OPEB Amounts_Report'!$K$326,0)</f>
        <v>1997587</v>
      </c>
      <c r="L208" s="120">
        <f>INDEX('Change in Proportion Layers'!$AD$8:$AD$324,MATCH('OPEB Amounts_Report'!A208,'Change in Proportion Layers'!$A$8:$A$324,0))</f>
        <v>442929</v>
      </c>
      <c r="M208" s="120">
        <f t="shared" si="9"/>
        <v>2839935</v>
      </c>
      <c r="N208" s="121"/>
      <c r="O208" s="121">
        <f>ROUND(VLOOKUP(A208,'Contribution Allocation_Report'!$A$9:$D$311,4,FALSE)*'OPEB Amounts_Report'!$O$326,0)</f>
        <v>-566904</v>
      </c>
      <c r="P208" s="121">
        <f>INDEX('Change in Proportion Layers'!$AA$8:$AA$324,MATCH('OPEB Amounts_Report'!A208,'Change in Proportion Layers'!$A$8:$A$324,0))</f>
        <v>-158240</v>
      </c>
      <c r="Q208" s="121">
        <f t="shared" si="11"/>
        <v>-725144</v>
      </c>
    </row>
    <row r="209" spans="1:17" ht="12" customHeight="1">
      <c r="A209" s="166">
        <v>2580</v>
      </c>
      <c r="B209" s="167" t="s">
        <v>198</v>
      </c>
      <c r="C209" s="122">
        <f>ROUND(VLOOKUP(A209,'Contribution Allocation_Report'!$A$9:$D$311,4,FALSE)*'OPEB Amounts_Report'!$C$326,0)</f>
        <v>353230</v>
      </c>
      <c r="D209" s="122">
        <f>ROUND(VLOOKUP(A209,'Contribution Allocation_Report'!$A$9:$D$311,4,FALSE)*'OPEB Amounts_Report'!$D$326,0)</f>
        <v>5875</v>
      </c>
      <c r="E209" s="122">
        <f>ROUND(VLOOKUP(A209,'Contribution Allocation_Report'!$A$9:$D$311,4,FALSE)*'OPEB Amounts_Report'!$E$326,0)</f>
        <v>4871</v>
      </c>
      <c r="F209" s="122">
        <f>ROUND(VLOOKUP(A209,'Contribution Allocation_Report'!$A$9:$D$311,4,FALSE)*'OPEB Amounts_Report'!$F$326,0)</f>
        <v>75371</v>
      </c>
      <c r="G209" s="122">
        <f>INDEX('Change in Proportion Layers'!$AC$8:$AC$324,MATCH('OPEB Amounts_Report'!A209,'Change in Proportion Layers'!$A$8:$A$324,0))</f>
        <v>12913</v>
      </c>
      <c r="H209" s="122">
        <f t="shared" si="10"/>
        <v>99030</v>
      </c>
      <c r="I209" s="122"/>
      <c r="J209" s="122">
        <f>ROUND(VLOOKUP(A209,'Contribution Allocation_Report'!$A$9:$D$311,4,FALSE)*'OPEB Amounts_Report'!$J$326,0)</f>
        <v>52356</v>
      </c>
      <c r="K209" s="122">
        <f>ROUND(VLOOKUP(A209,'Contribution Allocation_Report'!$A$9:$D$311,4,FALSE)*'OPEB Amounts_Report'!$K$326,0)</f>
        <v>261846</v>
      </c>
      <c r="L209" s="131">
        <f>INDEX('Change in Proportion Layers'!$AD$8:$AD$324,MATCH('OPEB Amounts_Report'!A209,'Change in Proportion Layers'!$A$8:$A$324,0))</f>
        <v>134785</v>
      </c>
      <c r="M209" s="122">
        <f t="shared" si="9"/>
        <v>448987</v>
      </c>
      <c r="N209" s="123"/>
      <c r="O209" s="123">
        <f>ROUND(VLOOKUP(A209,'Contribution Allocation_Report'!$A$9:$D$311,4,FALSE)*'OPEB Amounts_Report'!$O$326,0)</f>
        <v>-74310</v>
      </c>
      <c r="P209" s="123">
        <f>INDEX('Change in Proportion Layers'!$AA$8:$AA$324,MATCH('OPEB Amounts_Report'!A209,'Change in Proportion Layers'!$A$8:$A$324,0))</f>
        <v>-23162</v>
      </c>
      <c r="Q209" s="123">
        <f t="shared" si="11"/>
        <v>-97472</v>
      </c>
    </row>
    <row r="210" spans="1:17" ht="12" customHeight="1">
      <c r="A210" s="164">
        <v>20312</v>
      </c>
      <c r="B210" s="168" t="s">
        <v>199</v>
      </c>
      <c r="C210" s="120">
        <f>ROUND(VLOOKUP(A210,'Contribution Allocation_Report'!$A$9:$D$311,4,FALSE)*'OPEB Amounts_Report'!$C$326,0)</f>
        <v>300597</v>
      </c>
      <c r="D210" s="120">
        <f>ROUND(VLOOKUP(A210,'Contribution Allocation_Report'!$A$9:$D$311,4,FALSE)*'OPEB Amounts_Report'!$D$326,0)</f>
        <v>5000</v>
      </c>
      <c r="E210" s="120">
        <f>ROUND(VLOOKUP(A210,'Contribution Allocation_Report'!$A$9:$D$311,4,FALSE)*'OPEB Amounts_Report'!$E$326,0)</f>
        <v>4145</v>
      </c>
      <c r="F210" s="120">
        <f>ROUND(VLOOKUP(A210,'Contribution Allocation_Report'!$A$9:$D$311,4,FALSE)*'OPEB Amounts_Report'!$F$326,0)</f>
        <v>64140</v>
      </c>
      <c r="G210" s="130">
        <f>INDEX('Change in Proportion Layers'!$AC$8:$AC$324,MATCH('OPEB Amounts_Report'!A210,'Change in Proportion Layers'!$A$8:$A$324,0))</f>
        <v>73383</v>
      </c>
      <c r="H210" s="120">
        <f t="shared" si="10"/>
        <v>146668</v>
      </c>
      <c r="I210" s="120"/>
      <c r="J210" s="120">
        <f>ROUND(VLOOKUP(A210,'Contribution Allocation_Report'!$A$9:$D$311,4,FALSE)*'OPEB Amounts_Report'!$J$326,0)</f>
        <v>44555</v>
      </c>
      <c r="K210" s="120">
        <f>ROUND(VLOOKUP(A210,'Contribution Allocation_Report'!$A$9:$D$311,4,FALSE)*'OPEB Amounts_Report'!$K$326,0)</f>
        <v>222829</v>
      </c>
      <c r="L210" s="120">
        <f>INDEX('Change in Proportion Layers'!$AD$8:$AD$324,MATCH('OPEB Amounts_Report'!A210,'Change in Proportion Layers'!$A$8:$A$324,0))</f>
        <v>6022</v>
      </c>
      <c r="M210" s="120">
        <f t="shared" si="9"/>
        <v>273406</v>
      </c>
      <c r="N210" s="121"/>
      <c r="O210" s="121">
        <f>ROUND(VLOOKUP(A210,'Contribution Allocation_Report'!$A$9:$D$311,4,FALSE)*'OPEB Amounts_Report'!$O$326,0)</f>
        <v>-63238</v>
      </c>
      <c r="P210" s="121">
        <f>INDEX('Change in Proportion Layers'!$AA$8:$AA$324,MATCH('OPEB Amounts_Report'!A210,'Change in Proportion Layers'!$A$8:$A$324,0))</f>
        <v>18748</v>
      </c>
      <c r="Q210" s="121">
        <f t="shared" si="11"/>
        <v>-44490</v>
      </c>
    </row>
    <row r="211" spans="1:17" ht="12" customHeight="1">
      <c r="A211" s="166">
        <v>26150</v>
      </c>
      <c r="B211" s="167" t="s">
        <v>200</v>
      </c>
      <c r="C211" s="122">
        <f>ROUND(VLOOKUP(A211,'Contribution Allocation_Report'!$A$9:$D$311,4,FALSE)*'OPEB Amounts_Report'!$C$326,0)</f>
        <v>2068751</v>
      </c>
      <c r="D211" s="122">
        <f>ROUND(VLOOKUP(A211,'Contribution Allocation_Report'!$A$9:$D$311,4,FALSE)*'OPEB Amounts_Report'!$D$326,0)</f>
        <v>34409</v>
      </c>
      <c r="E211" s="122">
        <f>ROUND(VLOOKUP(A211,'Contribution Allocation_Report'!$A$9:$D$311,4,FALSE)*'OPEB Amounts_Report'!$E$326,0)</f>
        <v>28526</v>
      </c>
      <c r="F211" s="122">
        <f>ROUND(VLOOKUP(A211,'Contribution Allocation_Report'!$A$9:$D$311,4,FALSE)*'OPEB Amounts_Report'!$F$326,0)</f>
        <v>441422</v>
      </c>
      <c r="G211" s="122">
        <f>INDEX('Change in Proportion Layers'!$AC$8:$AC$324,MATCH('OPEB Amounts_Report'!A211,'Change in Proportion Layers'!$A$8:$A$324,0))</f>
        <v>480387</v>
      </c>
      <c r="H211" s="122">
        <f t="shared" si="10"/>
        <v>984744</v>
      </c>
      <c r="I211" s="122"/>
      <c r="J211" s="122">
        <f>ROUND(VLOOKUP(A211,'Contribution Allocation_Report'!$A$9:$D$311,4,FALSE)*'OPEB Amounts_Report'!$J$326,0)</f>
        <v>306633</v>
      </c>
      <c r="K211" s="122">
        <f>ROUND(VLOOKUP(A211,'Contribution Allocation_Report'!$A$9:$D$311,4,FALSE)*'OPEB Amounts_Report'!$K$326,0)</f>
        <v>1533541</v>
      </c>
      <c r="L211" s="122">
        <f>INDEX('Change in Proportion Layers'!$AD$8:$AD$324,MATCH('OPEB Amounts_Report'!A211,'Change in Proportion Layers'!$A$8:$A$324,0))</f>
        <v>61244</v>
      </c>
      <c r="M211" s="122">
        <f t="shared" si="9"/>
        <v>1901418</v>
      </c>
      <c r="N211" s="123"/>
      <c r="O211" s="123">
        <f>ROUND(VLOOKUP(A211,'Contribution Allocation_Report'!$A$9:$D$311,4,FALSE)*'OPEB Amounts_Report'!$O$326,0)</f>
        <v>-435210</v>
      </c>
      <c r="P211" s="123">
        <f>INDEX('Change in Proportion Layers'!$AA$8:$AA$324,MATCH('OPEB Amounts_Report'!A211,'Change in Proportion Layers'!$A$8:$A$324,0))</f>
        <v>262041</v>
      </c>
      <c r="Q211" s="123">
        <f t="shared" si="11"/>
        <v>-173169</v>
      </c>
    </row>
    <row r="212" spans="1:17" ht="12" customHeight="1">
      <c r="A212" s="164">
        <v>5016</v>
      </c>
      <c r="B212" s="168" t="s">
        <v>201</v>
      </c>
      <c r="C212" s="120">
        <f>ROUND(VLOOKUP(A212,'Contribution Allocation_Report'!$A$9:$D$311,4,FALSE)*'OPEB Amounts_Report'!$C$326,0)</f>
        <v>226938</v>
      </c>
      <c r="D212" s="120">
        <f>ROUND(VLOOKUP(A212,'Contribution Allocation_Report'!$A$9:$D$311,4,FALSE)*'OPEB Amounts_Report'!$D$326,0)</f>
        <v>3775</v>
      </c>
      <c r="E212" s="120">
        <f>ROUND(VLOOKUP(A212,'Contribution Allocation_Report'!$A$9:$D$311,4,FALSE)*'OPEB Amounts_Report'!$E$326,0)</f>
        <v>3129</v>
      </c>
      <c r="F212" s="120">
        <f>ROUND(VLOOKUP(A212,'Contribution Allocation_Report'!$A$9:$D$311,4,FALSE)*'OPEB Amounts_Report'!$F$326,0)</f>
        <v>48423</v>
      </c>
      <c r="G212" s="120">
        <f>INDEX('Change in Proportion Layers'!$AC$8:$AC$324,MATCH('OPEB Amounts_Report'!A212,'Change in Proportion Layers'!$A$8:$A$324,0))</f>
        <v>16329</v>
      </c>
      <c r="H212" s="120">
        <f t="shared" si="10"/>
        <v>71656</v>
      </c>
      <c r="I212" s="120"/>
      <c r="J212" s="120">
        <f>ROUND(VLOOKUP(A212,'Contribution Allocation_Report'!$A$9:$D$311,4,FALSE)*'OPEB Amounts_Report'!$J$326,0)</f>
        <v>33637</v>
      </c>
      <c r="K212" s="120">
        <f>ROUND(VLOOKUP(A212,'Contribution Allocation_Report'!$A$9:$D$311,4,FALSE)*'OPEB Amounts_Report'!$K$326,0)</f>
        <v>168227</v>
      </c>
      <c r="L212" s="120">
        <f>INDEX('Change in Proportion Layers'!$AD$8:$AD$324,MATCH('OPEB Amounts_Report'!A212,'Change in Proportion Layers'!$A$8:$A$324,0))</f>
        <v>61602</v>
      </c>
      <c r="M212" s="120">
        <f t="shared" si="9"/>
        <v>263466</v>
      </c>
      <c r="N212" s="121"/>
      <c r="O212" s="121">
        <f>ROUND(VLOOKUP(A212,'Contribution Allocation_Report'!$A$9:$D$311,4,FALSE)*'OPEB Amounts_Report'!$O$326,0)</f>
        <v>-47742</v>
      </c>
      <c r="P212" s="121">
        <f>INDEX('Change in Proportion Layers'!$AA$8:$AA$324,MATCH('OPEB Amounts_Report'!A212,'Change in Proportion Layers'!$A$8:$A$324,0))</f>
        <v>-4554</v>
      </c>
      <c r="Q212" s="121">
        <f t="shared" si="11"/>
        <v>-52296</v>
      </c>
    </row>
    <row r="213" spans="1:17" ht="12" customHeight="1">
      <c r="A213" s="166">
        <v>6150</v>
      </c>
      <c r="B213" s="167" t="s">
        <v>202</v>
      </c>
      <c r="C213" s="122">
        <f>ROUND(VLOOKUP(A213,'Contribution Allocation_Report'!$A$9:$D$311,4,FALSE)*'OPEB Amounts_Report'!$C$326,0)</f>
        <v>212648</v>
      </c>
      <c r="D213" s="122">
        <f>ROUND(VLOOKUP(A213,'Contribution Allocation_Report'!$A$9:$D$311,4,FALSE)*'OPEB Amounts_Report'!$D$326,0)</f>
        <v>3537</v>
      </c>
      <c r="E213" s="122">
        <f>ROUND(VLOOKUP(A213,'Contribution Allocation_Report'!$A$9:$D$311,4,FALSE)*'OPEB Amounts_Report'!$E$326,0)</f>
        <v>2932</v>
      </c>
      <c r="F213" s="122">
        <f>ROUND(VLOOKUP(A213,'Contribution Allocation_Report'!$A$9:$D$311,4,FALSE)*'OPEB Amounts_Report'!$F$326,0)</f>
        <v>45374</v>
      </c>
      <c r="G213" s="122">
        <f>INDEX('Change in Proportion Layers'!$AC$8:$AC$324,MATCH('OPEB Amounts_Report'!A213,'Change in Proportion Layers'!$A$8:$A$324,0))</f>
        <v>139187</v>
      </c>
      <c r="H213" s="122">
        <f t="shared" si="10"/>
        <v>191030</v>
      </c>
      <c r="I213" s="122"/>
      <c r="J213" s="122">
        <f>ROUND(VLOOKUP(A213,'Contribution Allocation_Report'!$A$9:$D$311,4,FALSE)*'OPEB Amounts_Report'!$J$326,0)</f>
        <v>31519</v>
      </c>
      <c r="K213" s="122">
        <f>ROUND(VLOOKUP(A213,'Contribution Allocation_Report'!$A$9:$D$311,4,FALSE)*'OPEB Amounts_Report'!$K$326,0)</f>
        <v>157634</v>
      </c>
      <c r="L213" s="122">
        <f>INDEX('Change in Proportion Layers'!$AD$8:$AD$324,MATCH('OPEB Amounts_Report'!A213,'Change in Proportion Layers'!$A$8:$A$324,0))</f>
        <v>32234</v>
      </c>
      <c r="M213" s="122">
        <f t="shared" si="9"/>
        <v>221387</v>
      </c>
      <c r="N213" s="123"/>
      <c r="O213" s="123">
        <f>ROUND(VLOOKUP(A213,'Contribution Allocation_Report'!$A$9:$D$311,4,FALSE)*'OPEB Amounts_Report'!$O$326,0)</f>
        <v>-44736</v>
      </c>
      <c r="P213" s="123">
        <f>INDEX('Change in Proportion Layers'!$AA$8:$AA$324,MATCH('OPEB Amounts_Report'!A213,'Change in Proportion Layers'!$A$8:$A$324,0))</f>
        <v>70166</v>
      </c>
      <c r="Q213" s="123">
        <f t="shared" si="11"/>
        <v>25430</v>
      </c>
    </row>
    <row r="214" spans="1:17" ht="12" customHeight="1">
      <c r="A214" s="164">
        <v>4480</v>
      </c>
      <c r="B214" s="168" t="s">
        <v>203</v>
      </c>
      <c r="C214" s="120">
        <f>ROUND(VLOOKUP(A214,'Contribution Allocation_Report'!$A$9:$D$311,4,FALSE)*'OPEB Amounts_Report'!$C$326,0)</f>
        <v>343696</v>
      </c>
      <c r="D214" s="120">
        <f>ROUND(VLOOKUP(A214,'Contribution Allocation_Report'!$A$9:$D$311,4,FALSE)*'OPEB Amounts_Report'!$D$326,0)</f>
        <v>5717</v>
      </c>
      <c r="E214" s="120">
        <f>ROUND(VLOOKUP(A214,'Contribution Allocation_Report'!$A$9:$D$311,4,FALSE)*'OPEB Amounts_Report'!$E$326,0)</f>
        <v>4739</v>
      </c>
      <c r="F214" s="120">
        <f>ROUND(VLOOKUP(A214,'Contribution Allocation_Report'!$A$9:$D$311,4,FALSE)*'OPEB Amounts_Report'!$F$326,0)</f>
        <v>73337</v>
      </c>
      <c r="G214" s="120">
        <f>INDEX('Change in Proportion Layers'!$AC$8:$AC$324,MATCH('OPEB Amounts_Report'!A214,'Change in Proportion Layers'!$A$8:$A$324,0))</f>
        <v>12094</v>
      </c>
      <c r="H214" s="120">
        <f t="shared" si="10"/>
        <v>95887</v>
      </c>
      <c r="I214" s="120"/>
      <c r="J214" s="120">
        <f>ROUND(VLOOKUP(A214,'Contribution Allocation_Report'!$A$9:$D$311,4,FALSE)*'OPEB Amounts_Report'!$J$326,0)</f>
        <v>50943</v>
      </c>
      <c r="K214" s="120">
        <f>ROUND(VLOOKUP(A214,'Contribution Allocation_Report'!$A$9:$D$311,4,FALSE)*'OPEB Amounts_Report'!$K$326,0)</f>
        <v>254778</v>
      </c>
      <c r="L214" s="130">
        <f>INDEX('Change in Proportion Layers'!$AD$8:$AD$324,MATCH('OPEB Amounts_Report'!A214,'Change in Proportion Layers'!$A$8:$A$324,0))</f>
        <v>164998</v>
      </c>
      <c r="M214" s="120">
        <f t="shared" si="9"/>
        <v>470719</v>
      </c>
      <c r="N214" s="121"/>
      <c r="O214" s="121">
        <f>ROUND(VLOOKUP(A214,'Contribution Allocation_Report'!$A$9:$D$311,4,FALSE)*'OPEB Amounts_Report'!$O$326,0)</f>
        <v>-72304</v>
      </c>
      <c r="P214" s="121">
        <f>INDEX('Change in Proportion Layers'!$AA$8:$AA$324,MATCH('OPEB Amounts_Report'!A214,'Change in Proportion Layers'!$A$8:$A$324,0))</f>
        <v>-35726</v>
      </c>
      <c r="Q214" s="121">
        <f t="shared" si="11"/>
        <v>-108030</v>
      </c>
    </row>
    <row r="215" spans="1:17" ht="12" customHeight="1">
      <c r="A215" s="166">
        <v>28085</v>
      </c>
      <c r="B215" s="167" t="s">
        <v>204</v>
      </c>
      <c r="C215" s="122">
        <f>ROUND(VLOOKUP(A215,'Contribution Allocation_Report'!$A$9:$D$311,4,FALSE)*'OPEB Amounts_Report'!$C$326,0)</f>
        <v>719522</v>
      </c>
      <c r="D215" s="122">
        <f>ROUND(VLOOKUP(A215,'Contribution Allocation_Report'!$A$9:$D$311,4,FALSE)*'OPEB Amounts_Report'!$D$326,0)</f>
        <v>11968</v>
      </c>
      <c r="E215" s="122">
        <f>ROUND(VLOOKUP(A215,'Contribution Allocation_Report'!$A$9:$D$311,4,FALSE)*'OPEB Amounts_Report'!$E$326,0)</f>
        <v>9922</v>
      </c>
      <c r="F215" s="122">
        <f>ROUND(VLOOKUP(A215,'Contribution Allocation_Report'!$A$9:$D$311,4,FALSE)*'OPEB Amounts_Report'!$F$326,0)</f>
        <v>153529</v>
      </c>
      <c r="G215" s="122">
        <f>INDEX('Change in Proportion Layers'!$AC$8:$AC$324,MATCH('OPEB Amounts_Report'!A215,'Change in Proportion Layers'!$A$8:$A$324,0))</f>
        <v>11450</v>
      </c>
      <c r="H215" s="122">
        <f t="shared" si="10"/>
        <v>186869</v>
      </c>
      <c r="I215" s="122"/>
      <c r="J215" s="122">
        <f>ROUND(VLOOKUP(A215,'Contribution Allocation_Report'!$A$9:$D$311,4,FALSE)*'OPEB Amounts_Report'!$J$326,0)</f>
        <v>106648</v>
      </c>
      <c r="K215" s="122">
        <f>ROUND(VLOOKUP(A215,'Contribution Allocation_Report'!$A$9:$D$311,4,FALSE)*'OPEB Amounts_Report'!$K$326,0)</f>
        <v>533373</v>
      </c>
      <c r="L215" s="122">
        <f>INDEX('Change in Proportion Layers'!$AD$8:$AD$324,MATCH('OPEB Amounts_Report'!A215,'Change in Proportion Layers'!$A$8:$A$324,0))</f>
        <v>85170</v>
      </c>
      <c r="M215" s="122">
        <f t="shared" si="9"/>
        <v>725191</v>
      </c>
      <c r="N215" s="123"/>
      <c r="O215" s="123">
        <f>ROUND(VLOOKUP(A215,'Contribution Allocation_Report'!$A$9:$D$311,4,FALSE)*'OPEB Amounts_Report'!$O$326,0)</f>
        <v>-151368</v>
      </c>
      <c r="P215" s="123">
        <f>INDEX('Change in Proportion Layers'!$AA$8:$AA$324,MATCH('OPEB Amounts_Report'!A215,'Change in Proportion Layers'!$A$8:$A$324,0))</f>
        <v>-17843</v>
      </c>
      <c r="Q215" s="123">
        <f t="shared" si="11"/>
        <v>-169211</v>
      </c>
    </row>
    <row r="216" spans="1:17" ht="12" customHeight="1">
      <c r="A216" s="164">
        <v>3240</v>
      </c>
      <c r="B216" s="168" t="s">
        <v>205</v>
      </c>
      <c r="C216" s="120">
        <f>ROUND(VLOOKUP(A216,'Contribution Allocation_Report'!$A$9:$D$311,4,FALSE)*'OPEB Amounts_Report'!$C$326,0)</f>
        <v>4352265</v>
      </c>
      <c r="D216" s="120">
        <f>ROUND(VLOOKUP(A216,'Contribution Allocation_Report'!$A$9:$D$311,4,FALSE)*'OPEB Amounts_Report'!$D$326,0)</f>
        <v>72391</v>
      </c>
      <c r="E216" s="120">
        <f>ROUND(VLOOKUP(A216,'Contribution Allocation_Report'!$A$9:$D$311,4,FALSE)*'OPEB Amounts_Report'!$E$326,0)</f>
        <v>60014</v>
      </c>
      <c r="F216" s="120">
        <f>ROUND(VLOOKUP(A216,'Contribution Allocation_Report'!$A$9:$D$311,4,FALSE)*'OPEB Amounts_Report'!$F$326,0)</f>
        <v>928670</v>
      </c>
      <c r="G216" s="120">
        <f>INDEX('Change in Proportion Layers'!$AC$8:$AC$324,MATCH('OPEB Amounts_Report'!A216,'Change in Proportion Layers'!$A$8:$A$324,0))</f>
        <v>226603</v>
      </c>
      <c r="H216" s="120">
        <f t="shared" si="10"/>
        <v>1287678</v>
      </c>
      <c r="I216" s="120"/>
      <c r="J216" s="120">
        <f>ROUND(VLOOKUP(A216,'Contribution Allocation_Report'!$A$9:$D$311,4,FALSE)*'OPEB Amounts_Report'!$J$326,0)</f>
        <v>645098</v>
      </c>
      <c r="K216" s="120">
        <f>ROUND(VLOOKUP(A216,'Contribution Allocation_Report'!$A$9:$D$311,4,FALSE)*'OPEB Amounts_Report'!$K$326,0)</f>
        <v>3226285</v>
      </c>
      <c r="L216" s="120">
        <f>INDEX('Change in Proportion Layers'!$AD$8:$AD$324,MATCH('OPEB Amounts_Report'!A216,'Change in Proportion Layers'!$A$8:$A$324,0))</f>
        <v>1020099</v>
      </c>
      <c r="M216" s="120">
        <f t="shared" si="9"/>
        <v>4891482</v>
      </c>
      <c r="N216" s="121"/>
      <c r="O216" s="121">
        <f>ROUND(VLOOKUP(A216,'Contribution Allocation_Report'!$A$9:$D$311,4,FALSE)*'OPEB Amounts_Report'!$O$326,0)</f>
        <v>-915601</v>
      </c>
      <c r="P216" s="121">
        <f>INDEX('Change in Proportion Layers'!$AA$8:$AA$324,MATCH('OPEB Amounts_Report'!A216,'Change in Proportion Layers'!$A$8:$A$324,0))</f>
        <v>-353500</v>
      </c>
      <c r="Q216" s="121">
        <f t="shared" si="11"/>
        <v>-1269101</v>
      </c>
    </row>
    <row r="217" spans="1:17" ht="12" customHeight="1">
      <c r="A217" s="166">
        <v>12326</v>
      </c>
      <c r="B217" s="167" t="s">
        <v>206</v>
      </c>
      <c r="C217" s="122">
        <f>ROUND(VLOOKUP(A217,'Contribution Allocation_Report'!$A$9:$D$311,4,FALSE)*'OPEB Amounts_Report'!$C$326,0)</f>
        <v>268421</v>
      </c>
      <c r="D217" s="122">
        <f>ROUND(VLOOKUP(A217,'Contribution Allocation_Report'!$A$9:$D$311,4,FALSE)*'OPEB Amounts_Report'!$D$326,0)</f>
        <v>4465</v>
      </c>
      <c r="E217" s="122">
        <f>ROUND(VLOOKUP(A217,'Contribution Allocation_Report'!$A$9:$D$311,4,FALSE)*'OPEB Amounts_Report'!$E$326,0)</f>
        <v>3701</v>
      </c>
      <c r="F217" s="122">
        <f>ROUND(VLOOKUP(A217,'Contribution Allocation_Report'!$A$9:$D$311,4,FALSE)*'OPEB Amounts_Report'!$F$326,0)</f>
        <v>57275</v>
      </c>
      <c r="G217" s="122">
        <f>INDEX('Change in Proportion Layers'!$AC$8:$AC$324,MATCH('OPEB Amounts_Report'!A217,'Change in Proportion Layers'!$A$8:$A$324,0))</f>
        <v>73229</v>
      </c>
      <c r="H217" s="122">
        <f t="shared" si="10"/>
        <v>138670</v>
      </c>
      <c r="I217" s="122"/>
      <c r="J217" s="122">
        <f>ROUND(VLOOKUP(A217,'Contribution Allocation_Report'!$A$9:$D$311,4,FALSE)*'OPEB Amounts_Report'!$J$326,0)</f>
        <v>39786</v>
      </c>
      <c r="K217" s="122">
        <f>ROUND(VLOOKUP(A217,'Contribution Allocation_Report'!$A$9:$D$311,4,FALSE)*'OPEB Amounts_Report'!$K$326,0)</f>
        <v>198978</v>
      </c>
      <c r="L217" s="122">
        <f>INDEX('Change in Proportion Layers'!$AD$8:$AD$324,MATCH('OPEB Amounts_Report'!A217,'Change in Proportion Layers'!$A$8:$A$324,0))</f>
        <v>31401</v>
      </c>
      <c r="M217" s="122">
        <f t="shared" si="9"/>
        <v>270165</v>
      </c>
      <c r="N217" s="123"/>
      <c r="O217" s="123">
        <f>ROUND(VLOOKUP(A217,'Contribution Allocation_Report'!$A$9:$D$311,4,FALSE)*'OPEB Amounts_Report'!$O$326,0)</f>
        <v>-56469</v>
      </c>
      <c r="P217" s="123">
        <f>INDEX('Change in Proportion Layers'!$AA$8:$AA$324,MATCH('OPEB Amounts_Report'!A217,'Change in Proportion Layers'!$A$8:$A$324,0))</f>
        <v>10290</v>
      </c>
      <c r="Q217" s="123">
        <f t="shared" si="11"/>
        <v>-46179</v>
      </c>
    </row>
    <row r="218" spans="1:17" ht="12" customHeight="1">
      <c r="A218" s="164">
        <v>2445</v>
      </c>
      <c r="B218" s="168" t="s">
        <v>533</v>
      </c>
      <c r="C218" s="120">
        <f>ROUND(VLOOKUP(A218,'Contribution Allocation_Report'!$A$9:$D$311,4,FALSE)*'OPEB Amounts_Report'!$C$326,0)</f>
        <v>76458</v>
      </c>
      <c r="D218" s="120">
        <f>ROUND(VLOOKUP(A218,'Contribution Allocation_Report'!$A$9:$D$311,4,FALSE)*'OPEB Amounts_Report'!$D$326,0)</f>
        <v>1272</v>
      </c>
      <c r="E218" s="120">
        <f>ROUND(VLOOKUP(A218,'Contribution Allocation_Report'!$A$9:$D$311,4,FALSE)*'OPEB Amounts_Report'!$E$326,0)</f>
        <v>1054</v>
      </c>
      <c r="F218" s="120">
        <f>ROUND(VLOOKUP(A218,'Contribution Allocation_Report'!$A$9:$D$311,4,FALSE)*'OPEB Amounts_Report'!$F$326,0)</f>
        <v>16314</v>
      </c>
      <c r="G218" s="120">
        <f>INDEX('Change in Proportion Layers'!$AC$8:$AC$324,MATCH('OPEB Amounts_Report'!A218,'Change in Proportion Layers'!$A$8:$A$324,0))</f>
        <v>120608</v>
      </c>
      <c r="H218" s="120">
        <f t="shared" si="10"/>
        <v>139248</v>
      </c>
      <c r="I218" s="120"/>
      <c r="J218" s="120">
        <f>ROUND(VLOOKUP(A218,'Contribution Allocation_Report'!$A$9:$D$311,4,FALSE)*'OPEB Amounts_Report'!$J$326,0)</f>
        <v>11333</v>
      </c>
      <c r="K218" s="120">
        <f>ROUND(VLOOKUP(A218,'Contribution Allocation_Report'!$A$9:$D$311,4,FALSE)*'OPEB Amounts_Report'!$K$326,0)</f>
        <v>56677</v>
      </c>
      <c r="L218" s="130">
        <f>INDEX('Change in Proportion Layers'!$AD$8:$AD$324,MATCH('OPEB Amounts_Report'!A218,'Change in Proportion Layers'!$A$8:$A$324,0))</f>
        <v>0</v>
      </c>
      <c r="M218" s="120">
        <f t="shared" si="9"/>
        <v>68010</v>
      </c>
      <c r="N218" s="121"/>
      <c r="O218" s="121">
        <f>ROUND(VLOOKUP(A218,'Contribution Allocation_Report'!$A$9:$D$311,4,FALSE)*'OPEB Amounts_Report'!$O$326,0)</f>
        <v>-16085</v>
      </c>
      <c r="P218" s="121">
        <f>INDEX('Change in Proportion Layers'!$AA$8:$AA$324,MATCH('OPEB Amounts_Report'!A218,'Change in Proportion Layers'!$A$8:$A$324,0))</f>
        <v>24664</v>
      </c>
      <c r="Q218" s="121">
        <f t="shared" si="11"/>
        <v>8579</v>
      </c>
    </row>
    <row r="219" spans="1:17" ht="12" customHeight="1">
      <c r="A219" s="166">
        <v>29123</v>
      </c>
      <c r="B219" s="167" t="s">
        <v>207</v>
      </c>
      <c r="C219" s="122">
        <f>ROUND(VLOOKUP(A219,'Contribution Allocation_Report'!$A$9:$D$311,4,FALSE)*'OPEB Amounts_Report'!$C$326,0)</f>
        <v>51251644</v>
      </c>
      <c r="D219" s="122">
        <f>ROUND(VLOOKUP(A219,'Contribution Allocation_Report'!$A$9:$D$311,4,FALSE)*'OPEB Amounts_Report'!$D$326,0)</f>
        <v>852466</v>
      </c>
      <c r="E219" s="122">
        <f>ROUND(VLOOKUP(A219,'Contribution Allocation_Report'!$A$9:$D$311,4,FALSE)*'OPEB Amounts_Report'!$E$326,0)</f>
        <v>706712</v>
      </c>
      <c r="F219" s="122">
        <f>ROUND(VLOOKUP(A219,'Contribution Allocation_Report'!$A$9:$D$311,4,FALSE)*'OPEB Amounts_Report'!$F$326,0)</f>
        <v>10935886</v>
      </c>
      <c r="G219" s="122">
        <f>INDEX('Change in Proportion Layers'!$AC$8:$AC$324,MATCH('OPEB Amounts_Report'!A219,'Change in Proportion Layers'!$A$8:$A$324,0))</f>
        <v>11080201</v>
      </c>
      <c r="H219" s="122">
        <f t="shared" si="10"/>
        <v>23575265</v>
      </c>
      <c r="I219" s="122"/>
      <c r="J219" s="122">
        <f>ROUND(VLOOKUP(A219,'Contribution Allocation_Report'!$A$9:$D$311,4,FALSE)*'OPEB Amounts_Report'!$J$326,0)</f>
        <v>7596582</v>
      </c>
      <c r="K219" s="122">
        <f>ROUND(VLOOKUP(A219,'Contribution Allocation_Report'!$A$9:$D$311,4,FALSE)*'OPEB Amounts_Report'!$K$326,0)</f>
        <v>37992266</v>
      </c>
      <c r="L219" s="122">
        <f>INDEX('Change in Proportion Layers'!$AD$8:$AD$324,MATCH('OPEB Amounts_Report'!A219,'Change in Proportion Layers'!$A$8:$A$324,0))</f>
        <v>6372931</v>
      </c>
      <c r="M219" s="122">
        <f t="shared" si="9"/>
        <v>51961779</v>
      </c>
      <c r="N219" s="123"/>
      <c r="O219" s="123">
        <f>ROUND(VLOOKUP(A219,'Contribution Allocation_Report'!$A$9:$D$311,4,FALSE)*'OPEB Amounts_Report'!$O$326,0)</f>
        <v>-10781989</v>
      </c>
      <c r="P219" s="123">
        <f>INDEX('Change in Proportion Layers'!$AA$8:$AA$324,MATCH('OPEB Amounts_Report'!A219,'Change in Proportion Layers'!$A$8:$A$324,0))</f>
        <v>1666770</v>
      </c>
      <c r="Q219" s="123">
        <f t="shared" si="11"/>
        <v>-9115219</v>
      </c>
    </row>
    <row r="220" spans="1:17" ht="12" customHeight="1">
      <c r="A220" s="164">
        <v>2318</v>
      </c>
      <c r="B220" s="168" t="s">
        <v>208</v>
      </c>
      <c r="C220" s="120">
        <f>ROUND(VLOOKUP(A220,'Contribution Allocation_Report'!$A$9:$D$311,4,FALSE)*'OPEB Amounts_Report'!$C$326,0)</f>
        <v>1203527</v>
      </c>
      <c r="D220" s="120">
        <f>ROUND(VLOOKUP(A220,'Contribution Allocation_Report'!$A$9:$D$311,4,FALSE)*'OPEB Amounts_Report'!$D$326,0)</f>
        <v>20018</v>
      </c>
      <c r="E220" s="120">
        <f>ROUND(VLOOKUP(A220,'Contribution Allocation_Report'!$A$9:$D$311,4,FALSE)*'OPEB Amounts_Report'!$E$326,0)</f>
        <v>16596</v>
      </c>
      <c r="F220" s="120">
        <f>ROUND(VLOOKUP(A220,'Contribution Allocation_Report'!$A$9:$D$311,4,FALSE)*'OPEB Amounts_Report'!$F$326,0)</f>
        <v>256804</v>
      </c>
      <c r="G220" s="120">
        <f>INDEX('Change in Proportion Layers'!$AC$8:$AC$324,MATCH('OPEB Amounts_Report'!A220,'Change in Proportion Layers'!$A$8:$A$324,0))</f>
        <v>153821</v>
      </c>
      <c r="H220" s="120">
        <f t="shared" si="10"/>
        <v>447239</v>
      </c>
      <c r="I220" s="120"/>
      <c r="J220" s="120">
        <f>ROUND(VLOOKUP(A220,'Contribution Allocation_Report'!$A$9:$D$311,4,FALSE)*'OPEB Amounts_Report'!$J$326,0)</f>
        <v>178388</v>
      </c>
      <c r="K220" s="120">
        <f>ROUND(VLOOKUP(A220,'Contribution Allocation_Report'!$A$9:$D$311,4,FALSE)*'OPEB Amounts_Report'!$K$326,0)</f>
        <v>892161</v>
      </c>
      <c r="L220" s="130">
        <f>INDEX('Change in Proportion Layers'!$AD$8:$AD$324,MATCH('OPEB Amounts_Report'!A220,'Change in Proportion Layers'!$A$8:$A$324,0))</f>
        <v>12571</v>
      </c>
      <c r="M220" s="120">
        <f t="shared" si="9"/>
        <v>1083120</v>
      </c>
      <c r="N220" s="121"/>
      <c r="O220" s="121">
        <f>ROUND(VLOOKUP(A220,'Contribution Allocation_Report'!$A$9:$D$311,4,FALSE)*'OPEB Amounts_Report'!$O$326,0)</f>
        <v>-253190</v>
      </c>
      <c r="P220" s="121">
        <f>INDEX('Change in Proportion Layers'!$AA$8:$AA$324,MATCH('OPEB Amounts_Report'!A220,'Change in Proportion Layers'!$A$8:$A$324,0))</f>
        <v>45494</v>
      </c>
      <c r="Q220" s="121">
        <f t="shared" si="11"/>
        <v>-207696</v>
      </c>
    </row>
    <row r="221" spans="1:17" ht="12" customHeight="1">
      <c r="A221" s="166">
        <v>3250</v>
      </c>
      <c r="B221" s="167" t="s">
        <v>209</v>
      </c>
      <c r="C221" s="122">
        <f>ROUND(VLOOKUP(A221,'Contribution Allocation_Report'!$A$9:$D$311,4,FALSE)*'OPEB Amounts_Report'!$C$326,0)</f>
        <v>1633897</v>
      </c>
      <c r="D221" s="122">
        <f>ROUND(VLOOKUP(A221,'Contribution Allocation_Report'!$A$9:$D$311,4,FALSE)*'OPEB Amounts_Report'!$D$326,0)</f>
        <v>27177</v>
      </c>
      <c r="E221" s="122">
        <f>ROUND(VLOOKUP(A221,'Contribution Allocation_Report'!$A$9:$D$311,4,FALSE)*'OPEB Amounts_Report'!$E$326,0)</f>
        <v>22530</v>
      </c>
      <c r="F221" s="122">
        <f>ROUND(VLOOKUP(A221,'Contribution Allocation_Report'!$A$9:$D$311,4,FALSE)*'OPEB Amounts_Report'!$F$326,0)</f>
        <v>348635</v>
      </c>
      <c r="G221" s="131">
        <f>INDEX('Change in Proportion Layers'!$AC$8:$AC$324,MATCH('OPEB Amounts_Report'!A221,'Change in Proportion Layers'!$A$8:$A$324,0))</f>
        <v>120220</v>
      </c>
      <c r="H221" s="122">
        <f t="shared" si="10"/>
        <v>518562</v>
      </c>
      <c r="I221" s="122"/>
      <c r="J221" s="122">
        <f>ROUND(VLOOKUP(A221,'Contribution Allocation_Report'!$A$9:$D$311,4,FALSE)*'OPEB Amounts_Report'!$J$326,0)</f>
        <v>242178</v>
      </c>
      <c r="K221" s="122">
        <f>ROUND(VLOOKUP(A221,'Contribution Allocation_Report'!$A$9:$D$311,4,FALSE)*'OPEB Amounts_Report'!$K$326,0)</f>
        <v>1211190</v>
      </c>
      <c r="L221" s="122">
        <f>INDEX('Change in Proportion Layers'!$AD$8:$AD$324,MATCH('OPEB Amounts_Report'!A221,'Change in Proportion Layers'!$A$8:$A$324,0))</f>
        <v>203551</v>
      </c>
      <c r="M221" s="122">
        <f t="shared" si="9"/>
        <v>1656919</v>
      </c>
      <c r="N221" s="123"/>
      <c r="O221" s="123">
        <f>ROUND(VLOOKUP(A221,'Contribution Allocation_Report'!$A$9:$D$311,4,FALSE)*'OPEB Amounts_Report'!$O$326,0)</f>
        <v>-343729</v>
      </c>
      <c r="P221" s="123">
        <f>INDEX('Change in Proportion Layers'!$AA$8:$AA$324,MATCH('OPEB Amounts_Report'!A221,'Change in Proportion Layers'!$A$8:$A$324,0))</f>
        <v>1185</v>
      </c>
      <c r="Q221" s="123">
        <f t="shared" si="11"/>
        <v>-342544</v>
      </c>
    </row>
    <row r="222" spans="1:17" ht="12" customHeight="1">
      <c r="A222" s="164">
        <v>2313</v>
      </c>
      <c r="B222" s="168" t="s">
        <v>210</v>
      </c>
      <c r="C222" s="120">
        <f>ROUND(VLOOKUP(A222,'Contribution Allocation_Report'!$A$9:$D$311,4,FALSE)*'OPEB Amounts_Report'!$C$326,0)</f>
        <v>201225</v>
      </c>
      <c r="D222" s="120">
        <f>ROUND(VLOOKUP(A222,'Contribution Allocation_Report'!$A$9:$D$311,4,FALSE)*'OPEB Amounts_Report'!$D$326,0)</f>
        <v>3347</v>
      </c>
      <c r="E222" s="120">
        <f>ROUND(VLOOKUP(A222,'Contribution Allocation_Report'!$A$9:$D$311,4,FALSE)*'OPEB Amounts_Report'!$E$326,0)</f>
        <v>2775</v>
      </c>
      <c r="F222" s="120">
        <f>ROUND(VLOOKUP(A222,'Contribution Allocation_Report'!$A$9:$D$311,4,FALSE)*'OPEB Amounts_Report'!$F$326,0)</f>
        <v>42937</v>
      </c>
      <c r="G222" s="120">
        <f>INDEX('Change in Proportion Layers'!$AC$8:$AC$324,MATCH('OPEB Amounts_Report'!A222,'Change in Proportion Layers'!$A$8:$A$324,0))</f>
        <v>77152</v>
      </c>
      <c r="H222" s="120">
        <f t="shared" si="10"/>
        <v>126211</v>
      </c>
      <c r="I222" s="120"/>
      <c r="J222" s="120">
        <f>ROUND(VLOOKUP(A222,'Contribution Allocation_Report'!$A$9:$D$311,4,FALSE)*'OPEB Amounts_Report'!$J$326,0)</f>
        <v>29826</v>
      </c>
      <c r="K222" s="120">
        <f>ROUND(VLOOKUP(A222,'Contribution Allocation_Report'!$A$9:$D$311,4,FALSE)*'OPEB Amounts_Report'!$K$326,0)</f>
        <v>149166</v>
      </c>
      <c r="L222" s="130">
        <f>INDEX('Change in Proportion Layers'!$AD$8:$AD$324,MATCH('OPEB Amounts_Report'!A222,'Change in Proportion Layers'!$A$8:$A$324,0))</f>
        <v>16482</v>
      </c>
      <c r="M222" s="120">
        <f t="shared" si="9"/>
        <v>195474</v>
      </c>
      <c r="N222" s="121"/>
      <c r="O222" s="121">
        <f>ROUND(VLOOKUP(A222,'Contribution Allocation_Report'!$A$9:$D$311,4,FALSE)*'OPEB Amounts_Report'!$O$326,0)</f>
        <v>-42332</v>
      </c>
      <c r="P222" s="121">
        <f>INDEX('Change in Proportion Layers'!$AA$8:$AA$324,MATCH('OPEB Amounts_Report'!A222,'Change in Proportion Layers'!$A$8:$A$324,0))</f>
        <v>3480</v>
      </c>
      <c r="Q222" s="121">
        <f t="shared" si="11"/>
        <v>-38852</v>
      </c>
    </row>
    <row r="223" spans="1:17" ht="12" customHeight="1">
      <c r="A223" s="166">
        <v>4011</v>
      </c>
      <c r="B223" s="167" t="s">
        <v>211</v>
      </c>
      <c r="C223" s="122">
        <f>ROUND(VLOOKUP(A223,'Contribution Allocation_Report'!$A$9:$D$311,4,FALSE)*'OPEB Amounts_Report'!$C$326,0)</f>
        <v>30170973</v>
      </c>
      <c r="D223" s="122">
        <f>ROUND(VLOOKUP(A223,'Contribution Allocation_Report'!$A$9:$D$311,4,FALSE)*'OPEB Amounts_Report'!$D$326,0)</f>
        <v>501832</v>
      </c>
      <c r="E223" s="122">
        <f>ROUND(VLOOKUP(A223,'Contribution Allocation_Report'!$A$9:$D$311,4,FALSE)*'OPEB Amounts_Report'!$E$326,0)</f>
        <v>416029</v>
      </c>
      <c r="F223" s="122">
        <f>ROUND(VLOOKUP(A223,'Contribution Allocation_Report'!$A$9:$D$311,4,FALSE)*'OPEB Amounts_Report'!$F$326,0)</f>
        <v>6437770</v>
      </c>
      <c r="G223" s="131">
        <f>INDEX('Change in Proportion Layers'!$AC$8:$AC$324,MATCH('OPEB Amounts_Report'!A223,'Change in Proportion Layers'!$A$8:$A$324,0))</f>
        <v>4295128</v>
      </c>
      <c r="H223" s="122">
        <f t="shared" si="10"/>
        <v>11650759</v>
      </c>
      <c r="I223" s="122"/>
      <c r="J223" s="122">
        <f>ROUND(VLOOKUP(A223,'Contribution Allocation_Report'!$A$9:$D$311,4,FALSE)*'OPEB Amounts_Report'!$J$326,0)</f>
        <v>4471979</v>
      </c>
      <c r="K223" s="122">
        <f>ROUND(VLOOKUP(A223,'Contribution Allocation_Report'!$A$9:$D$311,4,FALSE)*'OPEB Amounts_Report'!$K$326,0)</f>
        <v>22365402</v>
      </c>
      <c r="L223" s="122">
        <f>INDEX('Change in Proportion Layers'!$AD$8:$AD$324,MATCH('OPEB Amounts_Report'!A223,'Change in Proportion Layers'!$A$8:$A$324,0))</f>
        <v>214835</v>
      </c>
      <c r="M223" s="122">
        <f t="shared" si="9"/>
        <v>27052216</v>
      </c>
      <c r="N223" s="123"/>
      <c r="O223" s="123">
        <f>ROUND(VLOOKUP(A223,'Contribution Allocation_Report'!$A$9:$D$311,4,FALSE)*'OPEB Amounts_Report'!$O$326,0)</f>
        <v>-6347174</v>
      </c>
      <c r="P223" s="123">
        <f>INDEX('Change in Proportion Layers'!$AA$8:$AA$324,MATCH('OPEB Amounts_Report'!A223,'Change in Proportion Layers'!$A$8:$A$324,0))</f>
        <v>1258477</v>
      </c>
      <c r="Q223" s="123">
        <f t="shared" si="11"/>
        <v>-5088697</v>
      </c>
    </row>
    <row r="224" spans="1:17" ht="12" customHeight="1">
      <c r="A224" s="164">
        <v>31092</v>
      </c>
      <c r="B224" s="168" t="s">
        <v>212</v>
      </c>
      <c r="C224" s="120">
        <f>ROUND(VLOOKUP(A224,'Contribution Allocation_Report'!$A$9:$D$311,4,FALSE)*'OPEB Amounts_Report'!$C$326,0)</f>
        <v>518638</v>
      </c>
      <c r="D224" s="120">
        <f>ROUND(VLOOKUP(A224,'Contribution Allocation_Report'!$A$9:$D$311,4,FALSE)*'OPEB Amounts_Report'!$D$326,0)</f>
        <v>8626</v>
      </c>
      <c r="E224" s="120">
        <f>ROUND(VLOOKUP(A224,'Contribution Allocation_Report'!$A$9:$D$311,4,FALSE)*'OPEB Amounts_Report'!$E$326,0)</f>
        <v>7152</v>
      </c>
      <c r="F224" s="120">
        <f>ROUND(VLOOKUP(A224,'Contribution Allocation_Report'!$A$9:$D$311,4,FALSE)*'OPEB Amounts_Report'!$F$326,0)</f>
        <v>110665</v>
      </c>
      <c r="G224" s="120">
        <f>INDEX('Change in Proportion Layers'!$AC$8:$AC$324,MATCH('OPEB Amounts_Report'!A224,'Change in Proportion Layers'!$A$8:$A$324,0))</f>
        <v>118564</v>
      </c>
      <c r="H224" s="120">
        <f t="shared" si="10"/>
        <v>245007</v>
      </c>
      <c r="I224" s="120"/>
      <c r="J224" s="120">
        <f>ROUND(VLOOKUP(A224,'Contribution Allocation_Report'!$A$9:$D$311,4,FALSE)*'OPEB Amounts_Report'!$J$326,0)</f>
        <v>76873</v>
      </c>
      <c r="K224" s="120">
        <f>ROUND(VLOOKUP(A224,'Contribution Allocation_Report'!$A$9:$D$311,4,FALSE)*'OPEB Amounts_Report'!$K$326,0)</f>
        <v>384461</v>
      </c>
      <c r="L224" s="120">
        <f>INDEX('Change in Proportion Layers'!$AD$8:$AD$324,MATCH('OPEB Amounts_Report'!A224,'Change in Proportion Layers'!$A$8:$A$324,0))</f>
        <v>9388</v>
      </c>
      <c r="M224" s="120">
        <f t="shared" si="9"/>
        <v>470722</v>
      </c>
      <c r="N224" s="121"/>
      <c r="O224" s="121">
        <f>ROUND(VLOOKUP(A224,'Contribution Allocation_Report'!$A$9:$D$311,4,FALSE)*'OPEB Amounts_Report'!$O$326,0)</f>
        <v>-109108</v>
      </c>
      <c r="P224" s="121">
        <f>INDEX('Change in Proportion Layers'!$AA$8:$AA$324,MATCH('OPEB Amounts_Report'!A224,'Change in Proportion Layers'!$A$8:$A$324,0))</f>
        <v>26486</v>
      </c>
      <c r="Q224" s="121">
        <f t="shared" si="11"/>
        <v>-82622</v>
      </c>
    </row>
    <row r="225" spans="1:17" ht="12" customHeight="1">
      <c r="A225" s="166">
        <v>26081</v>
      </c>
      <c r="B225" s="167" t="s">
        <v>213</v>
      </c>
      <c r="C225" s="122">
        <f>ROUND(VLOOKUP(A225,'Contribution Allocation_Report'!$A$9:$D$311,4,FALSE)*'OPEB Amounts_Report'!$C$326,0)</f>
        <v>4931865</v>
      </c>
      <c r="D225" s="122">
        <f>ROUND(VLOOKUP(A225,'Contribution Allocation_Report'!$A$9:$D$311,4,FALSE)*'OPEB Amounts_Report'!$D$326,0)</f>
        <v>82031</v>
      </c>
      <c r="E225" s="122">
        <f>ROUND(VLOOKUP(A225,'Contribution Allocation_Report'!$A$9:$D$311,4,FALSE)*'OPEB Amounts_Report'!$E$326,0)</f>
        <v>68006</v>
      </c>
      <c r="F225" s="122">
        <f>ROUND(VLOOKUP(A225,'Contribution Allocation_Report'!$A$9:$D$311,4,FALSE)*'OPEB Amounts_Report'!$F$326,0)</f>
        <v>1052343</v>
      </c>
      <c r="G225" s="122">
        <f>INDEX('Change in Proportion Layers'!$AC$8:$AC$324,MATCH('OPEB Amounts_Report'!A225,'Change in Proportion Layers'!$A$8:$A$324,0))</f>
        <v>233903</v>
      </c>
      <c r="H225" s="122">
        <f t="shared" si="10"/>
        <v>1436283</v>
      </c>
      <c r="I225" s="122"/>
      <c r="J225" s="122">
        <f>ROUND(VLOOKUP(A225,'Contribution Allocation_Report'!$A$9:$D$311,4,FALSE)*'OPEB Amounts_Report'!$J$326,0)</f>
        <v>731007</v>
      </c>
      <c r="K225" s="122">
        <f>ROUND(VLOOKUP(A225,'Contribution Allocation_Report'!$A$9:$D$311,4,FALSE)*'OPEB Amounts_Report'!$K$326,0)</f>
        <v>3655936</v>
      </c>
      <c r="L225" s="122">
        <f>INDEX('Change in Proportion Layers'!$AD$8:$AD$324,MATCH('OPEB Amounts_Report'!A225,'Change in Proportion Layers'!$A$8:$A$324,0))</f>
        <v>656192</v>
      </c>
      <c r="M225" s="122">
        <f t="shared" si="9"/>
        <v>5043135</v>
      </c>
      <c r="N225" s="123"/>
      <c r="O225" s="123">
        <f>ROUND(VLOOKUP(A225,'Contribution Allocation_Report'!$A$9:$D$311,4,FALSE)*'OPEB Amounts_Report'!$O$326,0)</f>
        <v>-1037534</v>
      </c>
      <c r="P225" s="123">
        <f>INDEX('Change in Proportion Layers'!$AA$8:$AA$324,MATCH('OPEB Amounts_Report'!A225,'Change in Proportion Layers'!$A$8:$A$324,0))</f>
        <v>22139</v>
      </c>
      <c r="Q225" s="123">
        <f t="shared" si="11"/>
        <v>-1015395</v>
      </c>
    </row>
    <row r="226" spans="1:17" ht="12" customHeight="1">
      <c r="A226" s="164">
        <v>29305</v>
      </c>
      <c r="B226" s="168" t="s">
        <v>214</v>
      </c>
      <c r="C226" s="120">
        <f>ROUND(VLOOKUP(A226,'Contribution Allocation_Report'!$A$9:$D$311,4,FALSE)*'OPEB Amounts_Report'!$C$326,0)</f>
        <v>360944</v>
      </c>
      <c r="D226" s="120">
        <f>ROUND(VLOOKUP(A226,'Contribution Allocation_Report'!$A$9:$D$311,4,FALSE)*'OPEB Amounts_Report'!$D$326,0)</f>
        <v>6004</v>
      </c>
      <c r="E226" s="120">
        <f>ROUND(VLOOKUP(A226,'Contribution Allocation_Report'!$A$9:$D$311,4,FALSE)*'OPEB Amounts_Report'!$E$326,0)</f>
        <v>4977</v>
      </c>
      <c r="F226" s="120">
        <f>ROUND(VLOOKUP(A226,'Contribution Allocation_Report'!$A$9:$D$311,4,FALSE)*'OPEB Amounts_Report'!$F$326,0)</f>
        <v>77017</v>
      </c>
      <c r="G226" s="120">
        <f>INDEX('Change in Proportion Layers'!$AC$8:$AC$324,MATCH('OPEB Amounts_Report'!A226,'Change in Proportion Layers'!$A$8:$A$324,0))</f>
        <v>57542</v>
      </c>
      <c r="H226" s="120">
        <f t="shared" si="10"/>
        <v>145540</v>
      </c>
      <c r="I226" s="120"/>
      <c r="J226" s="120">
        <f>ROUND(VLOOKUP(A226,'Contribution Allocation_Report'!$A$9:$D$311,4,FALSE)*'OPEB Amounts_Report'!$J$326,0)</f>
        <v>53500</v>
      </c>
      <c r="K226" s="120">
        <f>ROUND(VLOOKUP(A226,'Contribution Allocation_Report'!$A$9:$D$311,4,FALSE)*'OPEB Amounts_Report'!$K$326,0)</f>
        <v>267564</v>
      </c>
      <c r="L226" s="120">
        <f>INDEX('Change in Proportion Layers'!$AD$8:$AD$324,MATCH('OPEB Amounts_Report'!A226,'Change in Proportion Layers'!$A$8:$A$324,0))</f>
        <v>133631</v>
      </c>
      <c r="M226" s="120">
        <f t="shared" si="9"/>
        <v>454695</v>
      </c>
      <c r="N226" s="121"/>
      <c r="O226" s="121">
        <f>ROUND(VLOOKUP(A226,'Contribution Allocation_Report'!$A$9:$D$311,4,FALSE)*'OPEB Amounts_Report'!$O$326,0)</f>
        <v>-75933</v>
      </c>
      <c r="P226" s="121">
        <f>INDEX('Change in Proportion Layers'!$AA$8:$AA$324,MATCH('OPEB Amounts_Report'!A226,'Change in Proportion Layers'!$A$8:$A$324,0))</f>
        <v>17688</v>
      </c>
      <c r="Q226" s="121">
        <f t="shared" si="11"/>
        <v>-58245</v>
      </c>
    </row>
    <row r="227" spans="1:17" ht="12" customHeight="1">
      <c r="A227" s="166">
        <v>10032</v>
      </c>
      <c r="B227" s="167" t="s">
        <v>215</v>
      </c>
      <c r="C227" s="122">
        <f>ROUND(VLOOKUP(A227,'Contribution Allocation_Report'!$A$9:$D$311,4,FALSE)*'OPEB Amounts_Report'!$C$326,0)</f>
        <v>564581</v>
      </c>
      <c r="D227" s="122">
        <f>ROUND(VLOOKUP(A227,'Contribution Allocation_Report'!$A$9:$D$311,4,FALSE)*'OPEB Amounts_Report'!$D$326,0)</f>
        <v>9391</v>
      </c>
      <c r="E227" s="122">
        <f>ROUND(VLOOKUP(A227,'Contribution Allocation_Report'!$A$9:$D$311,4,FALSE)*'OPEB Amounts_Report'!$E$326,0)</f>
        <v>7785</v>
      </c>
      <c r="F227" s="122">
        <f>ROUND(VLOOKUP(A227,'Contribution Allocation_Report'!$A$9:$D$311,4,FALSE)*'OPEB Amounts_Report'!$F$326,0)</f>
        <v>120468</v>
      </c>
      <c r="G227" s="122">
        <f>INDEX('Change in Proportion Layers'!$AC$8:$AC$324,MATCH('OPEB Amounts_Report'!A227,'Change in Proportion Layers'!$A$8:$A$324,0))</f>
        <v>15897</v>
      </c>
      <c r="H227" s="122">
        <f t="shared" si="10"/>
        <v>153541</v>
      </c>
      <c r="I227" s="122"/>
      <c r="J227" s="122">
        <f>ROUND(VLOOKUP(A227,'Contribution Allocation_Report'!$A$9:$D$311,4,FALSE)*'OPEB Amounts_Report'!$J$326,0)</f>
        <v>83683</v>
      </c>
      <c r="K227" s="122">
        <f>ROUND(VLOOKUP(A227,'Contribution Allocation_Report'!$A$9:$D$311,4,FALSE)*'OPEB Amounts_Report'!$K$326,0)</f>
        <v>418518</v>
      </c>
      <c r="L227" s="122">
        <f>INDEX('Change in Proportion Layers'!$AD$8:$AD$324,MATCH('OPEB Amounts_Report'!A227,'Change in Proportion Layers'!$A$8:$A$324,0))</f>
        <v>132683</v>
      </c>
      <c r="M227" s="122">
        <f t="shared" si="9"/>
        <v>634884</v>
      </c>
      <c r="N227" s="123"/>
      <c r="O227" s="123">
        <f>ROUND(VLOOKUP(A227,'Contribution Allocation_Report'!$A$9:$D$311,4,FALSE)*'OPEB Amounts_Report'!$O$326,0)</f>
        <v>-118773</v>
      </c>
      <c r="P227" s="123">
        <f>INDEX('Change in Proportion Layers'!$AA$8:$AA$324,MATCH('OPEB Amounts_Report'!A227,'Change in Proportion Layers'!$A$8:$A$324,0))</f>
        <v>-21837</v>
      </c>
      <c r="Q227" s="123">
        <f t="shared" si="11"/>
        <v>-140610</v>
      </c>
    </row>
    <row r="228" spans="1:17" ht="12" customHeight="1">
      <c r="A228" s="164">
        <v>32107</v>
      </c>
      <c r="B228" s="168" t="s">
        <v>216</v>
      </c>
      <c r="C228" s="120">
        <f>ROUND(VLOOKUP(A228,'Contribution Allocation_Report'!$A$9:$D$311,4,FALSE)*'OPEB Amounts_Report'!$C$326,0)</f>
        <v>691624</v>
      </c>
      <c r="D228" s="120">
        <f>ROUND(VLOOKUP(A228,'Contribution Allocation_Report'!$A$9:$D$311,4,FALSE)*'OPEB Amounts_Report'!$D$326,0)</f>
        <v>11504</v>
      </c>
      <c r="E228" s="120">
        <f>ROUND(VLOOKUP(A228,'Contribution Allocation_Report'!$A$9:$D$311,4,FALSE)*'OPEB Amounts_Report'!$E$326,0)</f>
        <v>9537</v>
      </c>
      <c r="F228" s="120">
        <f>ROUND(VLOOKUP(A228,'Contribution Allocation_Report'!$A$9:$D$311,4,FALSE)*'OPEB Amounts_Report'!$F$326,0)</f>
        <v>147576</v>
      </c>
      <c r="G228" s="120">
        <f>INDEX('Change in Proportion Layers'!$AC$8:$AC$324,MATCH('OPEB Amounts_Report'!A228,'Change in Proportion Layers'!$A$8:$A$324,0))</f>
        <v>16386</v>
      </c>
      <c r="H228" s="120">
        <f t="shared" si="10"/>
        <v>185003</v>
      </c>
      <c r="I228" s="120"/>
      <c r="J228" s="120">
        <f>ROUND(VLOOKUP(A228,'Contribution Allocation_Report'!$A$9:$D$311,4,FALSE)*'OPEB Amounts_Report'!$J$326,0)</f>
        <v>102513</v>
      </c>
      <c r="K228" s="120">
        <f>ROUND(VLOOKUP(A228,'Contribution Allocation_Report'!$A$9:$D$311,4,FALSE)*'OPEB Amounts_Report'!$K$326,0)</f>
        <v>512693</v>
      </c>
      <c r="L228" s="120">
        <f>INDEX('Change in Proportion Layers'!$AD$8:$AD$324,MATCH('OPEB Amounts_Report'!A228,'Change in Proportion Layers'!$A$8:$A$324,0))</f>
        <v>411740</v>
      </c>
      <c r="M228" s="120">
        <f t="shared" si="9"/>
        <v>1026946</v>
      </c>
      <c r="N228" s="121"/>
      <c r="O228" s="121">
        <f>ROUND(VLOOKUP(A228,'Contribution Allocation_Report'!$A$9:$D$311,4,FALSE)*'OPEB Amounts_Report'!$O$326,0)</f>
        <v>-145499</v>
      </c>
      <c r="P228" s="121">
        <f>INDEX('Change in Proportion Layers'!$AA$8:$AA$324,MATCH('OPEB Amounts_Report'!A228,'Change in Proportion Layers'!$A$8:$A$324,0))</f>
        <v>-132265</v>
      </c>
      <c r="Q228" s="121">
        <f t="shared" si="11"/>
        <v>-277764</v>
      </c>
    </row>
    <row r="229" spans="1:17" ht="12" customHeight="1">
      <c r="A229" s="166">
        <v>3260</v>
      </c>
      <c r="B229" s="167" t="s">
        <v>217</v>
      </c>
      <c r="C229" s="122">
        <f>ROUND(VLOOKUP(A229,'Contribution Allocation_Report'!$A$9:$D$311,4,FALSE)*'OPEB Amounts_Report'!$C$326,0)</f>
        <v>13017043</v>
      </c>
      <c r="D229" s="122">
        <f>ROUND(VLOOKUP(A229,'Contribution Allocation_Report'!$A$9:$D$311,4,FALSE)*'OPEB Amounts_Report'!$D$326,0)</f>
        <v>216512</v>
      </c>
      <c r="E229" s="122">
        <f>ROUND(VLOOKUP(A229,'Contribution Allocation_Report'!$A$9:$D$311,4,FALSE)*'OPEB Amounts_Report'!$E$326,0)</f>
        <v>179493</v>
      </c>
      <c r="F229" s="122">
        <f>ROUND(VLOOKUP(A229,'Contribution Allocation_Report'!$A$9:$D$311,4,FALSE)*'OPEB Amounts_Report'!$F$326,0)</f>
        <v>2777528</v>
      </c>
      <c r="G229" s="122">
        <f>INDEX('Change in Proportion Layers'!$AC$8:$AC$324,MATCH('OPEB Amounts_Report'!A229,'Change in Proportion Layers'!$A$8:$A$324,0))</f>
        <v>422109</v>
      </c>
      <c r="H229" s="122">
        <f t="shared" si="10"/>
        <v>3595642</v>
      </c>
      <c r="I229" s="122"/>
      <c r="J229" s="122">
        <f>ROUND(VLOOKUP(A229,'Contribution Allocation_Report'!$A$9:$D$311,4,FALSE)*'OPEB Amounts_Report'!$J$326,0)</f>
        <v>1929402</v>
      </c>
      <c r="K229" s="122">
        <f>ROUND(VLOOKUP(A229,'Contribution Allocation_Report'!$A$9:$D$311,4,FALSE)*'OPEB Amounts_Report'!$K$326,0)</f>
        <v>9649387</v>
      </c>
      <c r="L229" s="131">
        <f>INDEX('Change in Proportion Layers'!$AD$8:$AD$324,MATCH('OPEB Amounts_Report'!A229,'Change in Proportion Layers'!$A$8:$A$324,0))</f>
        <v>4630675</v>
      </c>
      <c r="M229" s="122">
        <f t="shared" si="9"/>
        <v>16209464</v>
      </c>
      <c r="N229" s="123"/>
      <c r="O229" s="123">
        <f>ROUND(VLOOKUP(A229,'Contribution Allocation_Report'!$A$9:$D$311,4,FALSE)*'OPEB Amounts_Report'!$O$326,0)</f>
        <v>-2738441</v>
      </c>
      <c r="P229" s="123">
        <f>INDEX('Change in Proportion Layers'!$AA$8:$AA$324,MATCH('OPEB Amounts_Report'!A229,'Change in Proportion Layers'!$A$8:$A$324,0))</f>
        <v>-1098330</v>
      </c>
      <c r="Q229" s="123">
        <f t="shared" si="11"/>
        <v>-3836771</v>
      </c>
    </row>
    <row r="230" spans="1:17" ht="12" customHeight="1">
      <c r="A230" s="164">
        <v>4390</v>
      </c>
      <c r="B230" s="168" t="s">
        <v>218</v>
      </c>
      <c r="C230" s="120">
        <f>ROUND(VLOOKUP(A230,'Contribution Allocation_Report'!$A$9:$D$311,4,FALSE)*'OPEB Amounts_Report'!$C$326,0)</f>
        <v>136395</v>
      </c>
      <c r="D230" s="120">
        <f>ROUND(VLOOKUP(A230,'Contribution Allocation_Report'!$A$9:$D$311,4,FALSE)*'OPEB Amounts_Report'!$D$326,0)</f>
        <v>2269</v>
      </c>
      <c r="E230" s="120">
        <f>ROUND(VLOOKUP(A230,'Contribution Allocation_Report'!$A$9:$D$311,4,FALSE)*'OPEB Amounts_Report'!$E$326,0)</f>
        <v>1881</v>
      </c>
      <c r="F230" s="120">
        <f>ROUND(VLOOKUP(A230,'Contribution Allocation_Report'!$A$9:$D$311,4,FALSE)*'OPEB Amounts_Report'!$F$326,0)</f>
        <v>29103</v>
      </c>
      <c r="G230" s="120">
        <f>INDEX('Change in Proportion Layers'!$AC$8:$AC$324,MATCH('OPEB Amounts_Report'!A230,'Change in Proportion Layers'!$A$8:$A$324,0))</f>
        <v>23160</v>
      </c>
      <c r="H230" s="120">
        <f t="shared" si="10"/>
        <v>56413</v>
      </c>
      <c r="I230" s="120"/>
      <c r="J230" s="120">
        <f>ROUND(VLOOKUP(A230,'Contribution Allocation_Report'!$A$9:$D$311,4,FALSE)*'OPEB Amounts_Report'!$J$326,0)</f>
        <v>20217</v>
      </c>
      <c r="K230" s="120">
        <f>ROUND(VLOOKUP(A230,'Contribution Allocation_Report'!$A$9:$D$311,4,FALSE)*'OPEB Amounts_Report'!$K$326,0)</f>
        <v>101108</v>
      </c>
      <c r="L230" s="130">
        <f>INDEX('Change in Proportion Layers'!$AD$8:$AD$324,MATCH('OPEB Amounts_Report'!A230,'Change in Proportion Layers'!$A$8:$A$324,0))</f>
        <v>13739</v>
      </c>
      <c r="M230" s="120">
        <f t="shared" si="9"/>
        <v>135064</v>
      </c>
      <c r="N230" s="121"/>
      <c r="O230" s="121">
        <f>ROUND(VLOOKUP(A230,'Contribution Allocation_Report'!$A$9:$D$311,4,FALSE)*'OPEB Amounts_Report'!$O$326,0)</f>
        <v>-28694</v>
      </c>
      <c r="P230" s="121">
        <f>INDEX('Change in Proportion Layers'!$AA$8:$AA$324,MATCH('OPEB Amounts_Report'!A230,'Change in Proportion Layers'!$A$8:$A$324,0))</f>
        <v>5613</v>
      </c>
      <c r="Q230" s="121">
        <f t="shared" si="11"/>
        <v>-23081</v>
      </c>
    </row>
    <row r="231" spans="1:17" ht="12" customHeight="1">
      <c r="A231" s="166">
        <v>3270</v>
      </c>
      <c r="B231" s="167" t="s">
        <v>219</v>
      </c>
      <c r="C231" s="122">
        <f>ROUND(VLOOKUP(A231,'Contribution Allocation_Report'!$A$9:$D$311,4,FALSE)*'OPEB Amounts_Report'!$C$326,0)</f>
        <v>1904708</v>
      </c>
      <c r="D231" s="122">
        <f>ROUND(VLOOKUP(A231,'Contribution Allocation_Report'!$A$9:$D$311,4,FALSE)*'OPEB Amounts_Report'!$D$326,0)</f>
        <v>31681</v>
      </c>
      <c r="E231" s="122">
        <f>ROUND(VLOOKUP(A231,'Contribution Allocation_Report'!$A$9:$D$311,4,FALSE)*'OPEB Amounts_Report'!$E$326,0)</f>
        <v>26264</v>
      </c>
      <c r="F231" s="122">
        <f>ROUND(VLOOKUP(A231,'Contribution Allocation_Report'!$A$9:$D$311,4,FALSE)*'OPEB Amounts_Report'!$F$326,0)</f>
        <v>406419</v>
      </c>
      <c r="G231" s="122">
        <f>INDEX('Change in Proportion Layers'!$AC$8:$AC$324,MATCH('OPEB Amounts_Report'!A231,'Change in Proportion Layers'!$A$8:$A$324,0))</f>
        <v>841</v>
      </c>
      <c r="H231" s="122">
        <f t="shared" si="10"/>
        <v>465205</v>
      </c>
      <c r="I231" s="122"/>
      <c r="J231" s="122">
        <f>ROUND(VLOOKUP(A231,'Contribution Allocation_Report'!$A$9:$D$311,4,FALSE)*'OPEB Amounts_Report'!$J$326,0)</f>
        <v>282318</v>
      </c>
      <c r="K231" s="122">
        <f>ROUND(VLOOKUP(A231,'Contribution Allocation_Report'!$A$9:$D$311,4,FALSE)*'OPEB Amounts_Report'!$K$326,0)</f>
        <v>1411938</v>
      </c>
      <c r="L231" s="122">
        <f>INDEX('Change in Proportion Layers'!$AD$8:$AD$324,MATCH('OPEB Amounts_Report'!A231,'Change in Proportion Layers'!$A$8:$A$324,0))</f>
        <v>385615</v>
      </c>
      <c r="M231" s="122">
        <f t="shared" si="9"/>
        <v>2079871</v>
      </c>
      <c r="N231" s="123"/>
      <c r="O231" s="123">
        <f>ROUND(VLOOKUP(A231,'Contribution Allocation_Report'!$A$9:$D$311,4,FALSE)*'OPEB Amounts_Report'!$O$326,0)</f>
        <v>-400700</v>
      </c>
      <c r="P231" s="123">
        <f>INDEX('Change in Proportion Layers'!$AA$8:$AA$324,MATCH('OPEB Amounts_Report'!A231,'Change in Proportion Layers'!$A$8:$A$324,0))</f>
        <v>-101032</v>
      </c>
      <c r="Q231" s="123">
        <f t="shared" si="11"/>
        <v>-501732</v>
      </c>
    </row>
    <row r="232" spans="1:17" ht="12" customHeight="1">
      <c r="A232" s="164">
        <v>29303</v>
      </c>
      <c r="B232" s="168" t="s">
        <v>220</v>
      </c>
      <c r="C232" s="120">
        <f>ROUND(VLOOKUP(A232,'Contribution Allocation_Report'!$A$9:$D$311,4,FALSE)*'OPEB Amounts_Report'!$C$326,0)</f>
        <v>597645</v>
      </c>
      <c r="D232" s="120">
        <f>ROUND(VLOOKUP(A232,'Contribution Allocation_Report'!$A$9:$D$311,4,FALSE)*'OPEB Amounts_Report'!$D$326,0)</f>
        <v>9941</v>
      </c>
      <c r="E232" s="120">
        <f>ROUND(VLOOKUP(A232,'Contribution Allocation_Report'!$A$9:$D$311,4,FALSE)*'OPEB Amounts_Report'!$E$326,0)</f>
        <v>8241</v>
      </c>
      <c r="F232" s="120">
        <f>ROUND(VLOOKUP(A232,'Contribution Allocation_Report'!$A$9:$D$311,4,FALSE)*'OPEB Amounts_Report'!$F$326,0)</f>
        <v>127523</v>
      </c>
      <c r="G232" s="120">
        <f>INDEX('Change in Proportion Layers'!$AC$8:$AC$324,MATCH('OPEB Amounts_Report'!A232,'Change in Proportion Layers'!$A$8:$A$324,0))</f>
        <v>500884</v>
      </c>
      <c r="H232" s="120">
        <f t="shared" si="10"/>
        <v>646589</v>
      </c>
      <c r="I232" s="120"/>
      <c r="J232" s="120">
        <f>ROUND(VLOOKUP(A232,'Contribution Allocation_Report'!$A$9:$D$311,4,FALSE)*'OPEB Amounts_Report'!$J$326,0)</f>
        <v>88584</v>
      </c>
      <c r="K232" s="120">
        <f>ROUND(VLOOKUP(A232,'Contribution Allocation_Report'!$A$9:$D$311,4,FALSE)*'OPEB Amounts_Report'!$K$326,0)</f>
        <v>443027</v>
      </c>
      <c r="L232" s="120">
        <f>INDEX('Change in Proportion Layers'!$AD$8:$AD$324,MATCH('OPEB Amounts_Report'!A232,'Change in Proportion Layers'!$A$8:$A$324,0))</f>
        <v>18067</v>
      </c>
      <c r="M232" s="120">
        <f t="shared" si="9"/>
        <v>549678</v>
      </c>
      <c r="N232" s="121"/>
      <c r="O232" s="121">
        <f>ROUND(VLOOKUP(A232,'Contribution Allocation_Report'!$A$9:$D$311,4,FALSE)*'OPEB Amounts_Report'!$O$326,0)</f>
        <v>-125729</v>
      </c>
      <c r="P232" s="121">
        <f>INDEX('Change in Proportion Layers'!$AA$8:$AA$324,MATCH('OPEB Amounts_Report'!A232,'Change in Proportion Layers'!$A$8:$A$324,0))</f>
        <v>121566</v>
      </c>
      <c r="Q232" s="121">
        <f t="shared" si="11"/>
        <v>-4163</v>
      </c>
    </row>
    <row r="233" spans="1:17" ht="12" customHeight="1">
      <c r="A233" s="166">
        <v>3280</v>
      </c>
      <c r="B233" s="167" t="s">
        <v>441</v>
      </c>
      <c r="C233" s="122">
        <f>ROUND(VLOOKUP(A233,'Contribution Allocation_Report'!$A$9:$D$311,4,FALSE)*'OPEB Amounts_Report'!$C$326,0)</f>
        <v>9626689</v>
      </c>
      <c r="D233" s="122">
        <f>ROUND(VLOOKUP(A233,'Contribution Allocation_Report'!$A$9:$D$311,4,FALSE)*'OPEB Amounts_Report'!$D$326,0)</f>
        <v>160120</v>
      </c>
      <c r="E233" s="122">
        <f>ROUND(VLOOKUP(A233,'Contribution Allocation_Report'!$A$9:$D$311,4,FALSE)*'OPEB Amounts_Report'!$E$326,0)</f>
        <v>132743</v>
      </c>
      <c r="F233" s="122">
        <f>ROUND(VLOOKUP(A233,'Contribution Allocation_Report'!$A$9:$D$311,4,FALSE)*'OPEB Amounts_Report'!$F$326,0)</f>
        <v>2054107</v>
      </c>
      <c r="G233" s="122">
        <f>INDEX('Change in Proportion Layers'!$AC$8:$AC$324,MATCH('OPEB Amounts_Report'!A233,'Change in Proportion Layers'!$A$8:$A$324,0))</f>
        <v>1197197</v>
      </c>
      <c r="H233" s="122">
        <f t="shared" si="10"/>
        <v>3544167</v>
      </c>
      <c r="I233" s="122"/>
      <c r="J233" s="122">
        <f>ROUND(VLOOKUP(A233,'Contribution Allocation_Report'!$A$9:$D$311,4,FALSE)*'OPEB Amounts_Report'!$J$326,0)</f>
        <v>1426880</v>
      </c>
      <c r="K233" s="122">
        <f>ROUND(VLOOKUP(A233,'Contribution Allocation_Report'!$A$9:$D$311,4,FALSE)*'OPEB Amounts_Report'!$K$326,0)</f>
        <v>7136156</v>
      </c>
      <c r="L233" s="122">
        <f>INDEX('Change in Proportion Layers'!$AD$8:$AD$324,MATCH('OPEB Amounts_Report'!A233,'Change in Proportion Layers'!$A$8:$A$324,0))</f>
        <v>2259322</v>
      </c>
      <c r="M233" s="122">
        <f t="shared" si="9"/>
        <v>10822358</v>
      </c>
      <c r="N233" s="123"/>
      <c r="O233" s="123">
        <f>ROUND(VLOOKUP(A233,'Contribution Allocation_Report'!$A$9:$D$311,4,FALSE)*'OPEB Amounts_Report'!$O$326,0)</f>
        <v>-2025200</v>
      </c>
      <c r="P233" s="123">
        <f>INDEX('Change in Proportion Layers'!$AA$8:$AA$324,MATCH('OPEB Amounts_Report'!A233,'Change in Proportion Layers'!$A$8:$A$324,0))</f>
        <v>-217662</v>
      </c>
      <c r="Q233" s="123">
        <f t="shared" si="11"/>
        <v>-2242862</v>
      </c>
    </row>
    <row r="234" spans="1:17" ht="12" customHeight="1">
      <c r="A234" s="164">
        <v>4260</v>
      </c>
      <c r="B234" s="168" t="s">
        <v>222</v>
      </c>
      <c r="C234" s="120">
        <f>ROUND(VLOOKUP(A234,'Contribution Allocation_Report'!$A$9:$D$311,4,FALSE)*'OPEB Amounts_Report'!$C$326,0)</f>
        <v>820123</v>
      </c>
      <c r="D234" s="120">
        <f>ROUND(VLOOKUP(A234,'Contribution Allocation_Report'!$A$9:$D$311,4,FALSE)*'OPEB Amounts_Report'!$D$326,0)</f>
        <v>13641</v>
      </c>
      <c r="E234" s="120">
        <f>ROUND(VLOOKUP(A234,'Contribution Allocation_Report'!$A$9:$D$311,4,FALSE)*'OPEB Amounts_Report'!$E$326,0)</f>
        <v>11309</v>
      </c>
      <c r="F234" s="120">
        <f>ROUND(VLOOKUP(A234,'Contribution Allocation_Report'!$A$9:$D$311,4,FALSE)*'OPEB Amounts_Report'!$F$326,0)</f>
        <v>174995</v>
      </c>
      <c r="G234" s="120">
        <f>INDEX('Change in Proportion Layers'!$AC$8:$AC$324,MATCH('OPEB Amounts_Report'!A234,'Change in Proportion Layers'!$A$8:$A$324,0))</f>
        <v>182815</v>
      </c>
      <c r="H234" s="120">
        <f t="shared" si="10"/>
        <v>382760</v>
      </c>
      <c r="I234" s="120"/>
      <c r="J234" s="120">
        <f>ROUND(VLOOKUP(A234,'Contribution Allocation_Report'!$A$9:$D$311,4,FALSE)*'OPEB Amounts_Report'!$J$326,0)</f>
        <v>121560</v>
      </c>
      <c r="K234" s="120">
        <f>ROUND(VLOOKUP(A234,'Contribution Allocation_Report'!$A$9:$D$311,4,FALSE)*'OPEB Amounts_Report'!$K$326,0)</f>
        <v>607948</v>
      </c>
      <c r="L234" s="120">
        <f>INDEX('Change in Proportion Layers'!$AD$8:$AD$324,MATCH('OPEB Amounts_Report'!A234,'Change in Proportion Layers'!$A$8:$A$324,0))</f>
        <v>73355</v>
      </c>
      <c r="M234" s="120">
        <f t="shared" si="9"/>
        <v>802863</v>
      </c>
      <c r="N234" s="121"/>
      <c r="O234" s="121">
        <f>ROUND(VLOOKUP(A234,'Contribution Allocation_Report'!$A$9:$D$311,4,FALSE)*'OPEB Amounts_Report'!$O$326,0)</f>
        <v>-172532</v>
      </c>
      <c r="P234" s="121">
        <f>INDEX('Change in Proportion Layers'!$AA$8:$AA$324,MATCH('OPEB Amounts_Report'!A234,'Change in Proportion Layers'!$A$8:$A$324,0))</f>
        <v>38443</v>
      </c>
      <c r="Q234" s="121">
        <f t="shared" si="11"/>
        <v>-134089</v>
      </c>
    </row>
    <row r="235" spans="1:17" ht="12" customHeight="1">
      <c r="A235" s="166">
        <v>1003</v>
      </c>
      <c r="B235" s="167" t="s">
        <v>223</v>
      </c>
      <c r="C235" s="122">
        <f>ROUND(VLOOKUP(A235,'Contribution Allocation_Report'!$A$9:$D$311,4,FALSE)*'OPEB Amounts_Report'!$C$326,0)</f>
        <v>9789639</v>
      </c>
      <c r="D235" s="122">
        <f>ROUND(VLOOKUP(A235,'Contribution Allocation_Report'!$A$9:$D$311,4,FALSE)*'OPEB Amounts_Report'!$D$326,0)</f>
        <v>162830</v>
      </c>
      <c r="E235" s="122">
        <f>ROUND(VLOOKUP(A235,'Contribution Allocation_Report'!$A$9:$D$311,4,FALSE)*'OPEB Amounts_Report'!$E$326,0)</f>
        <v>134990</v>
      </c>
      <c r="F235" s="122">
        <f>ROUND(VLOOKUP(A235,'Contribution Allocation_Report'!$A$9:$D$311,4,FALSE)*'OPEB Amounts_Report'!$F$326,0)</f>
        <v>2088877</v>
      </c>
      <c r="G235" s="122">
        <f>INDEX('Change in Proportion Layers'!$AC$8:$AC$324,MATCH('OPEB Amounts_Report'!A235,'Change in Proportion Layers'!$A$8:$A$324,0))</f>
        <v>0</v>
      </c>
      <c r="H235" s="122">
        <f t="shared" si="10"/>
        <v>2386697</v>
      </c>
      <c r="I235" s="122"/>
      <c r="J235" s="122">
        <f>ROUND(VLOOKUP(A235,'Contribution Allocation_Report'!$A$9:$D$311,4,FALSE)*'OPEB Amounts_Report'!$J$326,0)</f>
        <v>1451032</v>
      </c>
      <c r="K235" s="122">
        <f>ROUND(VLOOKUP(A235,'Contribution Allocation_Report'!$A$9:$D$311,4,FALSE)*'OPEB Amounts_Report'!$K$326,0)</f>
        <v>7256949</v>
      </c>
      <c r="L235" s="131">
        <f>INDEX('Change in Proportion Layers'!$AD$8:$AD$324,MATCH('OPEB Amounts_Report'!A235,'Change in Proportion Layers'!$A$8:$A$324,0))</f>
        <v>2737579</v>
      </c>
      <c r="M235" s="122">
        <f t="shared" si="9"/>
        <v>11445560</v>
      </c>
      <c r="N235" s="123"/>
      <c r="O235" s="123">
        <f>ROUND(VLOOKUP(A235,'Contribution Allocation_Report'!$A$9:$D$311,4,FALSE)*'OPEB Amounts_Report'!$O$326,0)</f>
        <v>-2059481</v>
      </c>
      <c r="P235" s="123">
        <f>INDEX('Change in Proportion Layers'!$AA$8:$AA$324,MATCH('OPEB Amounts_Report'!A235,'Change in Proportion Layers'!$A$8:$A$324,0))</f>
        <v>-1157122</v>
      </c>
      <c r="Q235" s="123">
        <f t="shared" si="11"/>
        <v>-3216603</v>
      </c>
    </row>
    <row r="236" spans="1:17" ht="12" customHeight="1">
      <c r="A236" s="164">
        <v>3290</v>
      </c>
      <c r="B236" s="168" t="s">
        <v>224</v>
      </c>
      <c r="C236" s="120">
        <f>ROUND(VLOOKUP(A236,'Contribution Allocation_Report'!$A$9:$D$311,4,FALSE)*'OPEB Amounts_Report'!$C$326,0)</f>
        <v>20301121</v>
      </c>
      <c r="D236" s="120">
        <f>ROUND(VLOOKUP(A236,'Contribution Allocation_Report'!$A$9:$D$311,4,FALSE)*'OPEB Amounts_Report'!$D$326,0)</f>
        <v>337667</v>
      </c>
      <c r="E236" s="120">
        <f>ROUND(VLOOKUP(A236,'Contribution Allocation_Report'!$A$9:$D$311,4,FALSE)*'OPEB Amounts_Report'!$E$326,0)</f>
        <v>279933</v>
      </c>
      <c r="F236" s="120">
        <f>ROUND(VLOOKUP(A236,'Contribution Allocation_Report'!$A$9:$D$311,4,FALSE)*'OPEB Amounts_Report'!$F$326,0)</f>
        <v>4331778</v>
      </c>
      <c r="G236" s="120">
        <f>INDEX('Change in Proportion Layers'!$AC$8:$AC$324,MATCH('OPEB Amounts_Report'!A236,'Change in Proportion Layers'!$A$8:$A$324,0))</f>
        <v>321624</v>
      </c>
      <c r="H236" s="120">
        <f t="shared" si="10"/>
        <v>5271002</v>
      </c>
      <c r="I236" s="120"/>
      <c r="J236" s="120">
        <f>ROUND(VLOOKUP(A236,'Contribution Allocation_Report'!$A$9:$D$311,4,FALSE)*'OPEB Amounts_Report'!$J$326,0)</f>
        <v>3009057</v>
      </c>
      <c r="K236" s="120">
        <f>ROUND(VLOOKUP(A236,'Contribution Allocation_Report'!$A$9:$D$311,4,FALSE)*'OPEB Amounts_Report'!$K$326,0)</f>
        <v>15048992</v>
      </c>
      <c r="L236" s="130">
        <f>INDEX('Change in Proportion Layers'!$AD$8:$AD$324,MATCH('OPEB Amounts_Report'!A236,'Change in Proportion Layers'!$A$8:$A$324,0))</f>
        <v>5048077</v>
      </c>
      <c r="M236" s="120">
        <f t="shared" si="9"/>
        <v>23106126</v>
      </c>
      <c r="N236" s="121"/>
      <c r="O236" s="121">
        <f>ROUND(VLOOKUP(A236,'Contribution Allocation_Report'!$A$9:$D$311,4,FALSE)*'OPEB Amounts_Report'!$O$326,0)</f>
        <v>-4270819</v>
      </c>
      <c r="P236" s="121">
        <f>INDEX('Change in Proportion Layers'!$AA$8:$AA$324,MATCH('OPEB Amounts_Report'!A236,'Change in Proportion Layers'!$A$8:$A$324,0))</f>
        <v>-915594</v>
      </c>
      <c r="Q236" s="121">
        <f t="shared" si="11"/>
        <v>-5186413</v>
      </c>
    </row>
    <row r="237" spans="1:17" ht="12" customHeight="1">
      <c r="A237" s="166">
        <v>1002</v>
      </c>
      <c r="B237" s="167" t="s">
        <v>225</v>
      </c>
      <c r="C237" s="122">
        <f>ROUND(VLOOKUP(A237,'Contribution Allocation_Report'!$A$9:$D$311,4,FALSE)*'OPEB Amounts_Report'!$C$326,0)</f>
        <v>39690780</v>
      </c>
      <c r="D237" s="122">
        <f>ROUND(VLOOKUP(A237,'Contribution Allocation_Report'!$A$9:$D$311,4,FALSE)*'OPEB Amounts_Report'!$D$326,0)</f>
        <v>660174</v>
      </c>
      <c r="E237" s="122">
        <f>ROUND(VLOOKUP(A237,'Contribution Allocation_Report'!$A$9:$D$311,4,FALSE)*'OPEB Amounts_Report'!$E$326,0)</f>
        <v>547299</v>
      </c>
      <c r="F237" s="122">
        <f>ROUND(VLOOKUP(A237,'Contribution Allocation_Report'!$A$9:$D$311,4,FALSE)*'OPEB Amounts_Report'!$F$326,0)</f>
        <v>8469071</v>
      </c>
      <c r="G237" s="122">
        <f>INDEX('Change in Proportion Layers'!$AC$8:$AC$324,MATCH('OPEB Amounts_Report'!A237,'Change in Proportion Layers'!$A$8:$A$324,0))</f>
        <v>1844001</v>
      </c>
      <c r="H237" s="122">
        <f t="shared" si="10"/>
        <v>11520545</v>
      </c>
      <c r="I237" s="122"/>
      <c r="J237" s="122">
        <f>ROUND(VLOOKUP(A237,'Contribution Allocation_Report'!$A$9:$D$311,4,FALSE)*'OPEB Amounts_Report'!$J$326,0)</f>
        <v>5883017</v>
      </c>
      <c r="K237" s="122">
        <f>ROUND(VLOOKUP(A237,'Contribution Allocation_Report'!$A$9:$D$311,4,FALSE)*'OPEB Amounts_Report'!$K$326,0)</f>
        <v>29422328</v>
      </c>
      <c r="L237" s="122">
        <f>INDEX('Change in Proportion Layers'!$AD$8:$AD$324,MATCH('OPEB Amounts_Report'!A237,'Change in Proportion Layers'!$A$8:$A$324,0))</f>
        <v>2623450</v>
      </c>
      <c r="M237" s="122">
        <f t="shared" si="9"/>
        <v>37928795</v>
      </c>
      <c r="N237" s="123"/>
      <c r="O237" s="123">
        <f>ROUND(VLOOKUP(A237,'Contribution Allocation_Report'!$A$9:$D$311,4,FALSE)*'OPEB Amounts_Report'!$O$326,0)</f>
        <v>-8349890</v>
      </c>
      <c r="P237" s="123">
        <f>INDEX('Change in Proportion Layers'!$AA$8:$AA$324,MATCH('OPEB Amounts_Report'!A237,'Change in Proportion Layers'!$A$8:$A$324,0))</f>
        <v>-177999</v>
      </c>
      <c r="Q237" s="123">
        <f t="shared" si="11"/>
        <v>-8527889</v>
      </c>
    </row>
    <row r="238" spans="1:17" ht="12" customHeight="1">
      <c r="A238" s="164">
        <v>4270</v>
      </c>
      <c r="B238" s="168" t="s">
        <v>442</v>
      </c>
      <c r="C238" s="120">
        <f>ROUND(VLOOKUP(A238,'Contribution Allocation_Report'!$A$9:$D$311,4,FALSE)*'OPEB Amounts_Report'!$C$326,0)</f>
        <v>859399</v>
      </c>
      <c r="D238" s="120">
        <f>ROUND(VLOOKUP(A238,'Contribution Allocation_Report'!$A$9:$D$311,4,FALSE)*'OPEB Amounts_Report'!$D$326,0)</f>
        <v>14294</v>
      </c>
      <c r="E238" s="120">
        <f>ROUND(VLOOKUP(A238,'Contribution Allocation_Report'!$A$9:$D$311,4,FALSE)*'OPEB Amounts_Report'!$E$326,0)</f>
        <v>11850</v>
      </c>
      <c r="F238" s="120">
        <f>ROUND(VLOOKUP(A238,'Contribution Allocation_Report'!$A$9:$D$311,4,FALSE)*'OPEB Amounts_Report'!$F$326,0)</f>
        <v>183375</v>
      </c>
      <c r="G238" s="120">
        <f>INDEX('Change in Proportion Layers'!$AC$8:$AC$324,MATCH('OPEB Amounts_Report'!A238,'Change in Proportion Layers'!$A$8:$A$324,0))</f>
        <v>1219727</v>
      </c>
      <c r="H238" s="120">
        <f t="shared" si="10"/>
        <v>1429246</v>
      </c>
      <c r="I238" s="120"/>
      <c r="J238" s="120">
        <f>ROUND(VLOOKUP(A238,'Contribution Allocation_Report'!$A$9:$D$311,4,FALSE)*'OPEB Amounts_Report'!$J$326,0)</f>
        <v>127381</v>
      </c>
      <c r="K238" s="120">
        <f>ROUND(VLOOKUP(A238,'Contribution Allocation_Report'!$A$9:$D$311,4,FALSE)*'OPEB Amounts_Report'!$K$326,0)</f>
        <v>637062</v>
      </c>
      <c r="L238" s="120">
        <f>INDEX('Change in Proportion Layers'!$AD$8:$AD$324,MATCH('OPEB Amounts_Report'!A238,'Change in Proportion Layers'!$A$8:$A$324,0))</f>
        <v>24154</v>
      </c>
      <c r="M238" s="120">
        <f t="shared" si="9"/>
        <v>788597</v>
      </c>
      <c r="N238" s="121"/>
      <c r="O238" s="121">
        <f>ROUND(VLOOKUP(A238,'Contribution Allocation_Report'!$A$9:$D$311,4,FALSE)*'OPEB Amounts_Report'!$O$326,0)</f>
        <v>-180795</v>
      </c>
      <c r="P238" s="121">
        <f>INDEX('Change in Proportion Layers'!$AA$8:$AA$324,MATCH('OPEB Amounts_Report'!A238,'Change in Proportion Layers'!$A$8:$A$324,0))</f>
        <v>301525</v>
      </c>
      <c r="Q238" s="121">
        <f t="shared" si="11"/>
        <v>120730</v>
      </c>
    </row>
    <row r="239" spans="1:17" ht="12" customHeight="1">
      <c r="A239" s="166">
        <v>24072</v>
      </c>
      <c r="B239" s="167" t="s">
        <v>226</v>
      </c>
      <c r="C239" s="122">
        <f>ROUND(VLOOKUP(A239,'Contribution Allocation_Report'!$A$9:$D$311,4,FALSE)*'OPEB Amounts_Report'!$C$326,0)</f>
        <v>3066524</v>
      </c>
      <c r="D239" s="122">
        <f>ROUND(VLOOKUP(A239,'Contribution Allocation_Report'!$A$9:$D$311,4,FALSE)*'OPEB Amounts_Report'!$D$326,0)</f>
        <v>51005</v>
      </c>
      <c r="E239" s="122">
        <f>ROUND(VLOOKUP(A239,'Contribution Allocation_Report'!$A$9:$D$311,4,FALSE)*'OPEB Amounts_Report'!$E$326,0)</f>
        <v>42284</v>
      </c>
      <c r="F239" s="122">
        <f>ROUND(VLOOKUP(A239,'Contribution Allocation_Report'!$A$9:$D$311,4,FALSE)*'OPEB Amounts_Report'!$F$326,0)</f>
        <v>654324</v>
      </c>
      <c r="G239" s="122">
        <f>INDEX('Change in Proportion Layers'!$AC$8:$AC$324,MATCH('OPEB Amounts_Report'!A239,'Change in Proportion Layers'!$A$8:$A$324,0))</f>
        <v>843775</v>
      </c>
      <c r="H239" s="122">
        <f t="shared" si="10"/>
        <v>1591388</v>
      </c>
      <c r="I239" s="122"/>
      <c r="J239" s="122">
        <f>ROUND(VLOOKUP(A239,'Contribution Allocation_Report'!$A$9:$D$311,4,FALSE)*'OPEB Amounts_Report'!$J$326,0)</f>
        <v>454524</v>
      </c>
      <c r="K239" s="122">
        <f>ROUND(VLOOKUP(A239,'Contribution Allocation_Report'!$A$9:$D$311,4,FALSE)*'OPEB Amounts_Report'!$K$326,0)</f>
        <v>2273180</v>
      </c>
      <c r="L239" s="131">
        <f>INDEX('Change in Proportion Layers'!$AD$8:$AD$324,MATCH('OPEB Amounts_Report'!A239,'Change in Proportion Layers'!$A$8:$A$324,0))</f>
        <v>62741</v>
      </c>
      <c r="M239" s="122">
        <f t="shared" si="9"/>
        <v>2790445</v>
      </c>
      <c r="N239" s="123"/>
      <c r="O239" s="123">
        <f>ROUND(VLOOKUP(A239,'Contribution Allocation_Report'!$A$9:$D$311,4,FALSE)*'OPEB Amounts_Report'!$O$326,0)</f>
        <v>-645115</v>
      </c>
      <c r="P239" s="123">
        <f>INDEX('Change in Proportion Layers'!$AA$8:$AA$324,MATCH('OPEB Amounts_Report'!A239,'Change in Proportion Layers'!$A$8:$A$324,0))</f>
        <v>132926</v>
      </c>
      <c r="Q239" s="123">
        <f t="shared" si="11"/>
        <v>-512189</v>
      </c>
    </row>
    <row r="240" spans="1:17" ht="12" customHeight="1">
      <c r="A240" s="164">
        <v>14366</v>
      </c>
      <c r="B240" s="168" t="s">
        <v>227</v>
      </c>
      <c r="C240" s="120">
        <f>ROUND(VLOOKUP(A240,'Contribution Allocation_Report'!$A$9:$D$311,4,FALSE)*'OPEB Amounts_Report'!$C$326,0)</f>
        <v>1621769</v>
      </c>
      <c r="D240" s="120">
        <f>ROUND(VLOOKUP(A240,'Contribution Allocation_Report'!$A$9:$D$311,4,FALSE)*'OPEB Amounts_Report'!$D$326,0)</f>
        <v>26975</v>
      </c>
      <c r="E240" s="120">
        <f>ROUND(VLOOKUP(A240,'Contribution Allocation_Report'!$A$9:$D$311,4,FALSE)*'OPEB Amounts_Report'!$E$326,0)</f>
        <v>22363</v>
      </c>
      <c r="F240" s="120">
        <f>ROUND(VLOOKUP(A240,'Contribution Allocation_Report'!$A$9:$D$311,4,FALSE)*'OPEB Amounts_Report'!$F$326,0)</f>
        <v>346047</v>
      </c>
      <c r="G240" s="120">
        <f>INDEX('Change in Proportion Layers'!$AC$8:$AC$324,MATCH('OPEB Amounts_Report'!A240,'Change in Proportion Layers'!$A$8:$A$324,0))</f>
        <v>566554</v>
      </c>
      <c r="H240" s="120">
        <f t="shared" si="10"/>
        <v>961939</v>
      </c>
      <c r="I240" s="120"/>
      <c r="J240" s="120">
        <f>ROUND(VLOOKUP(A240,'Contribution Allocation_Report'!$A$9:$D$311,4,FALSE)*'OPEB Amounts_Report'!$J$326,0)</f>
        <v>240381</v>
      </c>
      <c r="K240" s="120">
        <f>ROUND(VLOOKUP(A240,'Contribution Allocation_Report'!$A$9:$D$311,4,FALSE)*'OPEB Amounts_Report'!$K$326,0)</f>
        <v>1202199</v>
      </c>
      <c r="L240" s="130">
        <f>INDEX('Change in Proportion Layers'!$AD$8:$AD$324,MATCH('OPEB Amounts_Report'!A240,'Change in Proportion Layers'!$A$8:$A$324,0))</f>
        <v>632</v>
      </c>
      <c r="M240" s="120">
        <f t="shared" si="9"/>
        <v>1443212</v>
      </c>
      <c r="N240" s="121"/>
      <c r="O240" s="121">
        <f>ROUND(VLOOKUP(A240,'Contribution Allocation_Report'!$A$9:$D$311,4,FALSE)*'OPEB Amounts_Report'!$O$326,0)</f>
        <v>-341177</v>
      </c>
      <c r="P240" s="121">
        <f>INDEX('Change in Proportion Layers'!$AA$8:$AA$324,MATCH('OPEB Amounts_Report'!A240,'Change in Proportion Layers'!$A$8:$A$324,0))</f>
        <v>123333</v>
      </c>
      <c r="Q240" s="121">
        <f t="shared" si="11"/>
        <v>-217844</v>
      </c>
    </row>
    <row r="241" spans="1:17" ht="12" customHeight="1">
      <c r="A241" s="166">
        <v>4317</v>
      </c>
      <c r="B241" s="167" t="s">
        <v>228</v>
      </c>
      <c r="C241" s="122">
        <f>ROUND(VLOOKUP(A241,'Contribution Allocation_Report'!$A$9:$D$311,4,FALSE)*'OPEB Amounts_Report'!$C$326,0)</f>
        <v>536638</v>
      </c>
      <c r="D241" s="122">
        <f>ROUND(VLOOKUP(A241,'Contribution Allocation_Report'!$A$9:$D$311,4,FALSE)*'OPEB Amounts_Report'!$D$326,0)</f>
        <v>8926</v>
      </c>
      <c r="E241" s="122">
        <f>ROUND(VLOOKUP(A241,'Contribution Allocation_Report'!$A$9:$D$311,4,FALSE)*'OPEB Amounts_Report'!$E$326,0)</f>
        <v>7400</v>
      </c>
      <c r="F241" s="122">
        <f>ROUND(VLOOKUP(A241,'Contribution Allocation_Report'!$A$9:$D$311,4,FALSE)*'OPEB Amounts_Report'!$F$326,0)</f>
        <v>114506</v>
      </c>
      <c r="G241" s="122">
        <f>INDEX('Change in Proportion Layers'!$AC$8:$AC$324,MATCH('OPEB Amounts_Report'!A241,'Change in Proportion Layers'!$A$8:$A$324,0))</f>
        <v>492019</v>
      </c>
      <c r="H241" s="122">
        <f t="shared" si="10"/>
        <v>622851</v>
      </c>
      <c r="I241" s="122"/>
      <c r="J241" s="122">
        <f>ROUND(VLOOKUP(A241,'Contribution Allocation_Report'!$A$9:$D$311,4,FALSE)*'OPEB Amounts_Report'!$J$326,0)</f>
        <v>79541</v>
      </c>
      <c r="K241" s="122">
        <f>ROUND(VLOOKUP(A241,'Contribution Allocation_Report'!$A$9:$D$311,4,FALSE)*'OPEB Amounts_Report'!$K$326,0)</f>
        <v>397803</v>
      </c>
      <c r="L241" s="122">
        <f>INDEX('Change in Proportion Layers'!$AD$8:$AD$324,MATCH('OPEB Amounts_Report'!A241,'Change in Proportion Layers'!$A$8:$A$324,0))</f>
        <v>7704</v>
      </c>
      <c r="M241" s="122">
        <f t="shared" si="9"/>
        <v>485048</v>
      </c>
      <c r="N241" s="123"/>
      <c r="O241" s="123">
        <f>ROUND(VLOOKUP(A241,'Contribution Allocation_Report'!$A$9:$D$311,4,FALSE)*'OPEB Amounts_Report'!$O$326,0)</f>
        <v>-112894</v>
      </c>
      <c r="P241" s="123">
        <f>INDEX('Change in Proportion Layers'!$AA$8:$AA$324,MATCH('OPEB Amounts_Report'!A241,'Change in Proportion Layers'!$A$8:$A$324,0))</f>
        <v>110000</v>
      </c>
      <c r="Q241" s="123">
        <f t="shared" si="11"/>
        <v>-2894</v>
      </c>
    </row>
    <row r="242" spans="1:17" ht="12" customHeight="1">
      <c r="A242" s="164">
        <v>32120</v>
      </c>
      <c r="B242" s="168" t="s">
        <v>229</v>
      </c>
      <c r="C242" s="120">
        <f>ROUND(VLOOKUP(A242,'Contribution Allocation_Report'!$A$9:$D$311,4,FALSE)*'OPEB Amounts_Report'!$C$326,0)</f>
        <v>662861</v>
      </c>
      <c r="D242" s="120">
        <f>ROUND(VLOOKUP(A242,'Contribution Allocation_Report'!$A$9:$D$311,4,FALSE)*'OPEB Amounts_Report'!$D$326,0)</f>
        <v>11025</v>
      </c>
      <c r="E242" s="120">
        <f>ROUND(VLOOKUP(A242,'Contribution Allocation_Report'!$A$9:$D$311,4,FALSE)*'OPEB Amounts_Report'!$E$326,0)</f>
        <v>9140</v>
      </c>
      <c r="F242" s="120">
        <f>ROUND(VLOOKUP(A242,'Contribution Allocation_Report'!$A$9:$D$311,4,FALSE)*'OPEB Amounts_Report'!$F$326,0)</f>
        <v>141439</v>
      </c>
      <c r="G242" s="120">
        <f>INDEX('Change in Proportion Layers'!$AC$8:$AC$324,MATCH('OPEB Amounts_Report'!A242,'Change in Proportion Layers'!$A$8:$A$324,0))</f>
        <v>467960</v>
      </c>
      <c r="H242" s="120">
        <f t="shared" si="10"/>
        <v>629564</v>
      </c>
      <c r="I242" s="120"/>
      <c r="J242" s="120">
        <f>ROUND(VLOOKUP(A242,'Contribution Allocation_Report'!$A$9:$D$311,4,FALSE)*'OPEB Amounts_Report'!$J$326,0)</f>
        <v>98250</v>
      </c>
      <c r="K242" s="120">
        <f>ROUND(VLOOKUP(A242,'Contribution Allocation_Report'!$A$9:$D$311,4,FALSE)*'OPEB Amounts_Report'!$K$326,0)</f>
        <v>491372</v>
      </c>
      <c r="L242" s="120">
        <f>INDEX('Change in Proportion Layers'!$AD$8:$AD$324,MATCH('OPEB Amounts_Report'!A242,'Change in Proportion Layers'!$A$8:$A$324,0))</f>
        <v>0</v>
      </c>
      <c r="M242" s="120">
        <f t="shared" si="9"/>
        <v>589622</v>
      </c>
      <c r="N242" s="121"/>
      <c r="O242" s="121">
        <f>ROUND(VLOOKUP(A242,'Contribution Allocation_Report'!$A$9:$D$311,4,FALSE)*'OPEB Amounts_Report'!$O$326,0)</f>
        <v>-139448</v>
      </c>
      <c r="P242" s="121">
        <f>INDEX('Change in Proportion Layers'!$AA$8:$AA$324,MATCH('OPEB Amounts_Report'!A242,'Change in Proportion Layers'!$A$8:$A$324,0))</f>
        <v>172261</v>
      </c>
      <c r="Q242" s="121">
        <f t="shared" si="11"/>
        <v>32813</v>
      </c>
    </row>
    <row r="243" spans="1:17" ht="12" customHeight="1">
      <c r="A243" s="166">
        <v>3300</v>
      </c>
      <c r="B243" s="167" t="s">
        <v>443</v>
      </c>
      <c r="C243" s="122">
        <f>ROUND(VLOOKUP(A243,'Contribution Allocation_Report'!$A$9:$D$311,4,FALSE)*'OPEB Amounts_Report'!$C$326,0)</f>
        <v>1437861</v>
      </c>
      <c r="D243" s="122">
        <f>ROUND(VLOOKUP(A243,'Contribution Allocation_Report'!$A$9:$D$311,4,FALSE)*'OPEB Amounts_Report'!$D$326,0)</f>
        <v>23916</v>
      </c>
      <c r="E243" s="122">
        <f>ROUND(VLOOKUP(A243,'Contribution Allocation_Report'!$A$9:$D$311,4,FALSE)*'OPEB Amounts_Report'!$E$326,0)</f>
        <v>19827</v>
      </c>
      <c r="F243" s="122">
        <f>ROUND(VLOOKUP(A243,'Contribution Allocation_Report'!$A$9:$D$311,4,FALSE)*'OPEB Amounts_Report'!$F$326,0)</f>
        <v>306805</v>
      </c>
      <c r="G243" s="122">
        <f>INDEX('Change in Proportion Layers'!$AC$8:$AC$324,MATCH('OPEB Amounts_Report'!A243,'Change in Proportion Layers'!$A$8:$A$324,0))</f>
        <v>538011</v>
      </c>
      <c r="H243" s="122">
        <f t="shared" si="10"/>
        <v>888559</v>
      </c>
      <c r="I243" s="122"/>
      <c r="J243" s="122">
        <f>ROUND(VLOOKUP(A243,'Contribution Allocation_Report'!$A$9:$D$311,4,FALSE)*'OPEB Amounts_Report'!$J$326,0)</f>
        <v>213121</v>
      </c>
      <c r="K243" s="122">
        <f>ROUND(VLOOKUP(A243,'Contribution Allocation_Report'!$A$9:$D$311,4,FALSE)*'OPEB Amounts_Report'!$K$326,0)</f>
        <v>1065870</v>
      </c>
      <c r="L243" s="122">
        <f>INDEX('Change in Proportion Layers'!$AD$8:$AD$324,MATCH('OPEB Amounts_Report'!A243,'Change in Proportion Layers'!$A$8:$A$324,0))</f>
        <v>195864</v>
      </c>
      <c r="M243" s="122">
        <f t="shared" si="9"/>
        <v>1474855</v>
      </c>
      <c r="N243" s="123"/>
      <c r="O243" s="123">
        <f>ROUND(VLOOKUP(A243,'Contribution Allocation_Report'!$A$9:$D$311,4,FALSE)*'OPEB Amounts_Report'!$O$326,0)</f>
        <v>-302488</v>
      </c>
      <c r="P243" s="123">
        <f>INDEX('Change in Proportion Layers'!$AA$8:$AA$324,MATCH('OPEB Amounts_Report'!A243,'Change in Proportion Layers'!$A$8:$A$324,0))</f>
        <v>585490</v>
      </c>
      <c r="Q243" s="123">
        <f t="shared" si="11"/>
        <v>283002</v>
      </c>
    </row>
    <row r="244" spans="1:17" ht="12" customHeight="1">
      <c r="A244" s="164">
        <v>8026</v>
      </c>
      <c r="B244" s="168" t="s">
        <v>231</v>
      </c>
      <c r="C244" s="120">
        <f>ROUND(VLOOKUP(A244,'Contribution Allocation_Report'!$A$9:$D$311,4,FALSE)*'OPEB Amounts_Report'!$C$326,0)</f>
        <v>7874578</v>
      </c>
      <c r="D244" s="120">
        <f>ROUND(VLOOKUP(A244,'Contribution Allocation_Report'!$A$9:$D$311,4,FALSE)*'OPEB Amounts_Report'!$D$326,0)</f>
        <v>130977</v>
      </c>
      <c r="E244" s="120">
        <f>ROUND(VLOOKUP(A244,'Contribution Allocation_Report'!$A$9:$D$311,4,FALSE)*'OPEB Amounts_Report'!$E$326,0)</f>
        <v>108583</v>
      </c>
      <c r="F244" s="120">
        <f>ROUND(VLOOKUP(A244,'Contribution Allocation_Report'!$A$9:$D$311,4,FALSE)*'OPEB Amounts_Report'!$F$326,0)</f>
        <v>1680248</v>
      </c>
      <c r="G244" s="120">
        <f>INDEX('Change in Proportion Layers'!$AC$8:$AC$324,MATCH('OPEB Amounts_Report'!A244,'Change in Proportion Layers'!$A$8:$A$324,0))</f>
        <v>44282</v>
      </c>
      <c r="H244" s="120">
        <f t="shared" si="10"/>
        <v>1964090</v>
      </c>
      <c r="I244" s="120"/>
      <c r="J244" s="120">
        <f>ROUND(VLOOKUP(A244,'Contribution Allocation_Report'!$A$9:$D$311,4,FALSE)*'OPEB Amounts_Report'!$J$326,0)</f>
        <v>1167180</v>
      </c>
      <c r="K244" s="120">
        <f>ROUND(VLOOKUP(A244,'Contribution Allocation_Report'!$A$9:$D$311,4,FALSE)*'OPEB Amounts_Report'!$K$326,0)</f>
        <v>5837336</v>
      </c>
      <c r="L244" s="120">
        <f>INDEX('Change in Proportion Layers'!$AD$8:$AD$324,MATCH('OPEB Amounts_Report'!A244,'Change in Proportion Layers'!$A$8:$A$324,0))</f>
        <v>921507</v>
      </c>
      <c r="M244" s="120">
        <f t="shared" si="9"/>
        <v>7926023</v>
      </c>
      <c r="N244" s="121"/>
      <c r="O244" s="121">
        <f>ROUND(VLOOKUP(A244,'Contribution Allocation_Report'!$A$9:$D$311,4,FALSE)*'OPEB Amounts_Report'!$O$326,0)</f>
        <v>-1656603</v>
      </c>
      <c r="P244" s="121">
        <f>INDEX('Change in Proportion Layers'!$AA$8:$AA$324,MATCH('OPEB Amounts_Report'!A244,'Change in Proportion Layers'!$A$8:$A$324,0))</f>
        <v>-301923</v>
      </c>
      <c r="Q244" s="121">
        <f t="shared" si="11"/>
        <v>-1958526</v>
      </c>
    </row>
    <row r="245" spans="1:17" ht="12" customHeight="1">
      <c r="A245" s="166">
        <v>32119</v>
      </c>
      <c r="B245" s="167" t="s">
        <v>232</v>
      </c>
      <c r="C245" s="122">
        <f>ROUND(VLOOKUP(A245,'Contribution Allocation_Report'!$A$9:$D$311,4,FALSE)*'OPEB Amounts_Report'!$C$326,0)</f>
        <v>287081</v>
      </c>
      <c r="D245" s="122">
        <f>ROUND(VLOOKUP(A245,'Contribution Allocation_Report'!$A$9:$D$311,4,FALSE)*'OPEB Amounts_Report'!$D$326,0)</f>
        <v>4775</v>
      </c>
      <c r="E245" s="122">
        <f>ROUND(VLOOKUP(A245,'Contribution Allocation_Report'!$A$9:$D$311,4,FALSE)*'OPEB Amounts_Report'!$E$326,0)</f>
        <v>3959</v>
      </c>
      <c r="F245" s="122">
        <f>ROUND(VLOOKUP(A245,'Contribution Allocation_Report'!$A$9:$D$311,4,FALSE)*'OPEB Amounts_Report'!$F$326,0)</f>
        <v>61256</v>
      </c>
      <c r="G245" s="122">
        <f>INDEX('Change in Proportion Layers'!$AC$8:$AC$324,MATCH('OPEB Amounts_Report'!A245,'Change in Proportion Layers'!$A$8:$A$324,0))</f>
        <v>155853</v>
      </c>
      <c r="H245" s="122">
        <f t="shared" si="10"/>
        <v>225843</v>
      </c>
      <c r="I245" s="122"/>
      <c r="J245" s="122">
        <f>ROUND(VLOOKUP(A245,'Contribution Allocation_Report'!$A$9:$D$311,4,FALSE)*'OPEB Amounts_Report'!$J$326,0)</f>
        <v>42551</v>
      </c>
      <c r="K245" s="122">
        <f>ROUND(VLOOKUP(A245,'Contribution Allocation_Report'!$A$9:$D$311,4,FALSE)*'OPEB Amounts_Report'!$K$326,0)</f>
        <v>212810</v>
      </c>
      <c r="L245" s="131">
        <f>INDEX('Change in Proportion Layers'!$AD$8:$AD$324,MATCH('OPEB Amounts_Report'!A245,'Change in Proportion Layers'!$A$8:$A$324,0))</f>
        <v>55785</v>
      </c>
      <c r="M245" s="122">
        <f t="shared" si="9"/>
        <v>311146</v>
      </c>
      <c r="N245" s="123"/>
      <c r="O245" s="123">
        <f>ROUND(VLOOKUP(A245,'Contribution Allocation_Report'!$A$9:$D$311,4,FALSE)*'OPEB Amounts_Report'!$O$326,0)</f>
        <v>-60394</v>
      </c>
      <c r="P245" s="123">
        <f>INDEX('Change in Proportion Layers'!$AA$8:$AA$324,MATCH('OPEB Amounts_Report'!A245,'Change in Proportion Layers'!$A$8:$A$324,0))</f>
        <v>64181</v>
      </c>
      <c r="Q245" s="123">
        <f t="shared" si="11"/>
        <v>3787</v>
      </c>
    </row>
    <row r="246" spans="1:17" ht="12" customHeight="1">
      <c r="A246" s="164">
        <v>25076</v>
      </c>
      <c r="B246" s="168" t="s">
        <v>233</v>
      </c>
      <c r="C246" s="120">
        <f>ROUND(VLOOKUP(A246,'Contribution Allocation_Report'!$A$9:$D$311,4,FALSE)*'OPEB Amounts_Report'!$C$326,0)</f>
        <v>4649722</v>
      </c>
      <c r="D246" s="120">
        <f>ROUND(VLOOKUP(A246,'Contribution Allocation_Report'!$A$9:$D$311,4,FALSE)*'OPEB Amounts_Report'!$D$326,0)</f>
        <v>77339</v>
      </c>
      <c r="E246" s="120">
        <f>ROUND(VLOOKUP(A246,'Contribution Allocation_Report'!$A$9:$D$311,4,FALSE)*'OPEB Amounts_Report'!$E$326,0)</f>
        <v>64115</v>
      </c>
      <c r="F246" s="120">
        <f>ROUND(VLOOKUP(A246,'Contribution Allocation_Report'!$A$9:$D$311,4,FALSE)*'OPEB Amounts_Report'!$F$326,0)</f>
        <v>992141</v>
      </c>
      <c r="G246" s="120">
        <f>INDEX('Change in Proportion Layers'!$AC$8:$AC$324,MATCH('OPEB Amounts_Report'!A246,'Change in Proportion Layers'!$A$8:$A$324,0))</f>
        <v>181536</v>
      </c>
      <c r="H246" s="120">
        <f t="shared" si="10"/>
        <v>1315131</v>
      </c>
      <c r="I246" s="120"/>
      <c r="J246" s="120">
        <f>ROUND(VLOOKUP(A246,'Contribution Allocation_Report'!$A$9:$D$311,4,FALSE)*'OPEB Amounts_Report'!$J$326,0)</f>
        <v>689188</v>
      </c>
      <c r="K246" s="120">
        <f>ROUND(VLOOKUP(A246,'Contribution Allocation_Report'!$A$9:$D$311,4,FALSE)*'OPEB Amounts_Report'!$K$326,0)</f>
        <v>3446787</v>
      </c>
      <c r="L246" s="130">
        <f>INDEX('Change in Proportion Layers'!$AD$8:$AD$324,MATCH('OPEB Amounts_Report'!A246,'Change in Proportion Layers'!$A$8:$A$324,0))</f>
        <v>490774</v>
      </c>
      <c r="M246" s="120">
        <f t="shared" si="9"/>
        <v>4626749</v>
      </c>
      <c r="N246" s="121"/>
      <c r="O246" s="121">
        <f>ROUND(VLOOKUP(A246,'Contribution Allocation_Report'!$A$9:$D$311,4,FALSE)*'OPEB Amounts_Report'!$O$326,0)</f>
        <v>-978179</v>
      </c>
      <c r="P246" s="121">
        <f>INDEX('Change in Proportion Layers'!$AA$8:$AA$324,MATCH('OPEB Amounts_Report'!A246,'Change in Proportion Layers'!$A$8:$A$324,0))</f>
        <v>-68762</v>
      </c>
      <c r="Q246" s="121">
        <f t="shared" si="11"/>
        <v>-1046941</v>
      </c>
    </row>
    <row r="247" spans="1:17" ht="12" customHeight="1">
      <c r="A247" s="166">
        <v>2440</v>
      </c>
      <c r="B247" s="167" t="s">
        <v>413</v>
      </c>
      <c r="C247" s="122">
        <f>ROUND(VLOOKUP(A247,'Contribution Allocation_Report'!$A$9:$D$311,4,FALSE)*'OPEB Amounts_Report'!$C$326,0)</f>
        <v>663931</v>
      </c>
      <c r="D247" s="122">
        <f>ROUND(VLOOKUP(A247,'Contribution Allocation_Report'!$A$9:$D$311,4,FALSE)*'OPEB Amounts_Report'!$D$326,0)</f>
        <v>11043</v>
      </c>
      <c r="E247" s="122">
        <f>ROUND(VLOOKUP(A247,'Contribution Allocation_Report'!$A$9:$D$311,4,FALSE)*'OPEB Amounts_Report'!$E$326,0)</f>
        <v>9155</v>
      </c>
      <c r="F247" s="122">
        <f>ROUND(VLOOKUP(A247,'Contribution Allocation_Report'!$A$9:$D$311,4,FALSE)*'OPEB Amounts_Report'!$F$326,0)</f>
        <v>141667</v>
      </c>
      <c r="G247" s="122">
        <f>INDEX('Change in Proportion Layers'!$AC$8:$AC$324,MATCH('OPEB Amounts_Report'!A247,'Change in Proportion Layers'!$A$8:$A$324,0))</f>
        <v>869671</v>
      </c>
      <c r="H247" s="122">
        <f t="shared" si="10"/>
        <v>1031536</v>
      </c>
      <c r="I247" s="122"/>
      <c r="J247" s="122">
        <f>ROUND(VLOOKUP(A247,'Contribution Allocation_Report'!$A$9:$D$311,4,FALSE)*'OPEB Amounts_Report'!$J$326,0)</f>
        <v>98409</v>
      </c>
      <c r="K247" s="122">
        <f>ROUND(VLOOKUP(A247,'Contribution Allocation_Report'!$A$9:$D$311,4,FALSE)*'OPEB Amounts_Report'!$K$326,0)</f>
        <v>492164</v>
      </c>
      <c r="L247" s="131">
        <f>INDEX('Change in Proportion Layers'!$AD$8:$AD$324,MATCH('OPEB Amounts_Report'!A247,'Change in Proportion Layers'!$A$8:$A$324,0))</f>
        <v>0</v>
      </c>
      <c r="M247" s="122">
        <f t="shared" si="9"/>
        <v>590573</v>
      </c>
      <c r="N247" s="123"/>
      <c r="O247" s="123">
        <f>ROUND(VLOOKUP(A247,'Contribution Allocation_Report'!$A$9:$D$311,4,FALSE)*'OPEB Amounts_Report'!$O$326,0)</f>
        <v>-139673</v>
      </c>
      <c r="P247" s="123">
        <f>INDEX('Change in Proportion Layers'!$AA$8:$AA$324,MATCH('OPEB Amounts_Report'!A247,'Change in Proportion Layers'!$A$8:$A$324,0))</f>
        <v>234087</v>
      </c>
      <c r="Q247" s="123">
        <f t="shared" si="11"/>
        <v>94414</v>
      </c>
    </row>
    <row r="248" spans="1:17" ht="12" customHeight="1">
      <c r="A248" s="164">
        <v>2309</v>
      </c>
      <c r="B248" s="168" t="s">
        <v>234</v>
      </c>
      <c r="C248" s="120">
        <f>ROUND(VLOOKUP(A248,'Contribution Allocation_Report'!$A$9:$D$311,4,FALSE)*'OPEB Amounts_Report'!$C$326,0)</f>
        <v>1965669</v>
      </c>
      <c r="D248" s="120">
        <f>ROUND(VLOOKUP(A248,'Contribution Allocation_Report'!$A$9:$D$311,4,FALSE)*'OPEB Amounts_Report'!$D$326,0)</f>
        <v>32695</v>
      </c>
      <c r="E248" s="120">
        <f>ROUND(VLOOKUP(A248,'Contribution Allocation_Report'!$A$9:$D$311,4,FALSE)*'OPEB Amounts_Report'!$E$326,0)</f>
        <v>27105</v>
      </c>
      <c r="F248" s="120">
        <f>ROUND(VLOOKUP(A248,'Contribution Allocation_Report'!$A$9:$D$311,4,FALSE)*'OPEB Amounts_Report'!$F$326,0)</f>
        <v>419427</v>
      </c>
      <c r="G248" s="120">
        <f>INDEX('Change in Proportion Layers'!$AC$8:$AC$324,MATCH('OPEB Amounts_Report'!A248,'Change in Proportion Layers'!$A$8:$A$324,0))</f>
        <v>291049</v>
      </c>
      <c r="H248" s="120">
        <f t="shared" si="10"/>
        <v>770276</v>
      </c>
      <c r="I248" s="120"/>
      <c r="J248" s="120">
        <f>ROUND(VLOOKUP(A248,'Contribution Allocation_Report'!$A$9:$D$311,4,FALSE)*'OPEB Amounts_Report'!$J$326,0)</f>
        <v>291354</v>
      </c>
      <c r="K248" s="120">
        <f>ROUND(VLOOKUP(A248,'Contribution Allocation_Report'!$A$9:$D$311,4,FALSE)*'OPEB Amounts_Report'!$K$326,0)</f>
        <v>1457128</v>
      </c>
      <c r="L248" s="130">
        <f>INDEX('Change in Proportion Layers'!$AD$8:$AD$324,MATCH('OPEB Amounts_Report'!A248,'Change in Proportion Layers'!$A$8:$A$324,0))</f>
        <v>104063</v>
      </c>
      <c r="M248" s="120">
        <f t="shared" si="9"/>
        <v>1852545</v>
      </c>
      <c r="N248" s="121"/>
      <c r="O248" s="121">
        <f>ROUND(VLOOKUP(A248,'Contribution Allocation_Report'!$A$9:$D$311,4,FALSE)*'OPEB Amounts_Report'!$O$326,0)</f>
        <v>-413525</v>
      </c>
      <c r="P248" s="121">
        <f>INDEX('Change in Proportion Layers'!$AA$8:$AA$324,MATCH('OPEB Amounts_Report'!A248,'Change in Proportion Layers'!$A$8:$A$324,0))</f>
        <v>96993</v>
      </c>
      <c r="Q248" s="121">
        <f t="shared" si="11"/>
        <v>-316532</v>
      </c>
    </row>
    <row r="249" spans="1:17" ht="12" customHeight="1">
      <c r="A249" s="166">
        <v>2396</v>
      </c>
      <c r="B249" s="167" t="s">
        <v>235</v>
      </c>
      <c r="C249" s="122">
        <f>ROUND(VLOOKUP(A249,'Contribution Allocation_Report'!$A$9:$D$311,4,FALSE)*'OPEB Amounts_Report'!$C$326,0)</f>
        <v>591797</v>
      </c>
      <c r="D249" s="122">
        <f>ROUND(VLOOKUP(A249,'Contribution Allocation_Report'!$A$9:$D$311,4,FALSE)*'OPEB Amounts_Report'!$D$326,0)</f>
        <v>9843</v>
      </c>
      <c r="E249" s="122">
        <f>ROUND(VLOOKUP(A249,'Contribution Allocation_Report'!$A$9:$D$311,4,FALSE)*'OPEB Amounts_Report'!$E$326,0)</f>
        <v>8160</v>
      </c>
      <c r="F249" s="122">
        <f>ROUND(VLOOKUP(A249,'Contribution Allocation_Report'!$A$9:$D$311,4,FALSE)*'OPEB Amounts_Report'!$F$326,0)</f>
        <v>126275</v>
      </c>
      <c r="G249" s="122">
        <f>INDEX('Change in Proportion Layers'!$AC$8:$AC$324,MATCH('OPEB Amounts_Report'!A249,'Change in Proportion Layers'!$A$8:$A$324,0))</f>
        <v>238282</v>
      </c>
      <c r="H249" s="122">
        <f t="shared" si="10"/>
        <v>382560</v>
      </c>
      <c r="I249" s="122"/>
      <c r="J249" s="122">
        <f>ROUND(VLOOKUP(A249,'Contribution Allocation_Report'!$A$9:$D$311,4,FALSE)*'OPEB Amounts_Report'!$J$326,0)</f>
        <v>87717</v>
      </c>
      <c r="K249" s="122">
        <f>ROUND(VLOOKUP(A249,'Contribution Allocation_Report'!$A$9:$D$311,4,FALSE)*'OPEB Amounts_Report'!$K$326,0)</f>
        <v>438692</v>
      </c>
      <c r="L249" s="131">
        <f>INDEX('Change in Proportion Layers'!$AD$8:$AD$324,MATCH('OPEB Amounts_Report'!A249,'Change in Proportion Layers'!$A$8:$A$324,0))</f>
        <v>6374</v>
      </c>
      <c r="M249" s="122">
        <f t="shared" si="9"/>
        <v>532783</v>
      </c>
      <c r="N249" s="123"/>
      <c r="O249" s="123">
        <f>ROUND(VLOOKUP(A249,'Contribution Allocation_Report'!$A$9:$D$311,4,FALSE)*'OPEB Amounts_Report'!$O$326,0)</f>
        <v>-124498</v>
      </c>
      <c r="P249" s="123">
        <f>INDEX('Change in Proportion Layers'!$AA$8:$AA$324,MATCH('OPEB Amounts_Report'!A249,'Change in Proportion Layers'!$A$8:$A$324,0))</f>
        <v>63466</v>
      </c>
      <c r="Q249" s="123">
        <f t="shared" si="11"/>
        <v>-61032</v>
      </c>
    </row>
    <row r="250" spans="1:17" ht="12" customHeight="1">
      <c r="A250" s="164">
        <v>3380</v>
      </c>
      <c r="B250" s="165" t="s">
        <v>236</v>
      </c>
      <c r="C250" s="126">
        <f>ROUND(VLOOKUP(A250,'Contribution Allocation_Report'!$A$9:$D$311,4,FALSE)*'OPEB Amounts_Report'!$C$326,0)</f>
        <v>418470</v>
      </c>
      <c r="D250" s="126">
        <f>ROUND(VLOOKUP(A250,'Contribution Allocation_Report'!$A$9:$D$311,4,FALSE)*'OPEB Amounts_Report'!$D$326,0)</f>
        <v>6960</v>
      </c>
      <c r="E250" s="126">
        <f>ROUND(VLOOKUP(A250,'Contribution Allocation_Report'!$A$9:$D$311,4,FALSE)*'OPEB Amounts_Report'!$E$326,0)</f>
        <v>5770</v>
      </c>
      <c r="F250" s="126">
        <f>ROUND(VLOOKUP(A250,'Contribution Allocation_Report'!$A$9:$D$311,4,FALSE)*'OPEB Amounts_Report'!$F$326,0)</f>
        <v>89291</v>
      </c>
      <c r="G250" s="126">
        <f>INDEX('Change in Proportion Layers'!$AC$8:$AC$324,MATCH('OPEB Amounts_Report'!A250,'Change in Proportion Layers'!$A$8:$A$324,0))</f>
        <v>55814</v>
      </c>
      <c r="H250" s="126">
        <f t="shared" si="10"/>
        <v>157835</v>
      </c>
      <c r="I250" s="126"/>
      <c r="J250" s="126">
        <f>ROUND(VLOOKUP(A250,'Contribution Allocation_Report'!$A$9:$D$311,4,FALSE)*'OPEB Amounts_Report'!$J$326,0)</f>
        <v>62026</v>
      </c>
      <c r="K250" s="126">
        <f>ROUND(VLOOKUP(A250,'Contribution Allocation_Report'!$A$9:$D$311,4,FALSE)*'OPEB Amounts_Report'!$K$326,0)</f>
        <v>310207</v>
      </c>
      <c r="L250" s="128">
        <f>INDEX('Change in Proportion Layers'!$AD$8:$AD$324,MATCH('OPEB Amounts_Report'!A250,'Change in Proportion Layers'!$A$8:$A$324,0))</f>
        <v>50684</v>
      </c>
      <c r="M250" s="126">
        <f t="shared" si="9"/>
        <v>422917</v>
      </c>
      <c r="N250" s="127"/>
      <c r="O250" s="127">
        <f>ROUND(VLOOKUP(A250,'Contribution Allocation_Report'!$A$9:$D$311,4,FALSE)*'OPEB Amounts_Report'!$O$326,0)</f>
        <v>-88035</v>
      </c>
      <c r="P250" s="127">
        <f>INDEX('Change in Proportion Layers'!$AA$8:$AA$324,MATCH('OPEB Amounts_Report'!A250,'Change in Proportion Layers'!$A$8:$A$324,0))</f>
        <v>-9952</v>
      </c>
      <c r="Q250" s="127">
        <f t="shared" si="11"/>
        <v>-97987</v>
      </c>
    </row>
    <row r="251" spans="1:17" ht="12" customHeight="1">
      <c r="A251" s="166">
        <v>2420</v>
      </c>
      <c r="B251" s="167" t="s">
        <v>237</v>
      </c>
      <c r="C251" s="122">
        <f>ROUND(VLOOKUP(A251,'Contribution Allocation_Report'!$A$9:$D$311,4,FALSE)*'OPEB Amounts_Report'!$C$326,0)</f>
        <v>547765</v>
      </c>
      <c r="D251" s="122">
        <f>ROUND(VLOOKUP(A251,'Contribution Allocation_Report'!$A$9:$D$311,4,FALSE)*'OPEB Amounts_Report'!$D$326,0)</f>
        <v>9111</v>
      </c>
      <c r="E251" s="122">
        <f>ROUND(VLOOKUP(A251,'Contribution Allocation_Report'!$A$9:$D$311,4,FALSE)*'OPEB Amounts_Report'!$E$326,0)</f>
        <v>7553</v>
      </c>
      <c r="F251" s="122">
        <f>ROUND(VLOOKUP(A251,'Contribution Allocation_Report'!$A$9:$D$311,4,FALSE)*'OPEB Amounts_Report'!$F$326,0)</f>
        <v>116880</v>
      </c>
      <c r="G251" s="122">
        <f>INDEX('Change in Proportion Layers'!$AC$8:$AC$324,MATCH('OPEB Amounts_Report'!A251,'Change in Proportion Layers'!$A$8:$A$324,0))</f>
        <v>70446</v>
      </c>
      <c r="H251" s="122">
        <f t="shared" si="10"/>
        <v>203990</v>
      </c>
      <c r="I251" s="122"/>
      <c r="J251" s="122">
        <f>ROUND(VLOOKUP(A251,'Contribution Allocation_Report'!$A$9:$D$311,4,FALSE)*'OPEB Amounts_Report'!$J$326,0)</f>
        <v>81190</v>
      </c>
      <c r="K251" s="122">
        <f>ROUND(VLOOKUP(A251,'Contribution Allocation_Report'!$A$9:$D$311,4,FALSE)*'OPEB Amounts_Report'!$K$326,0)</f>
        <v>406052</v>
      </c>
      <c r="L251" s="122">
        <f>INDEX('Change in Proportion Layers'!$AD$8:$AD$324,MATCH('OPEB Amounts_Report'!A251,'Change in Proportion Layers'!$A$8:$A$324,0))</f>
        <v>187254</v>
      </c>
      <c r="M251" s="122">
        <f t="shared" si="9"/>
        <v>674496</v>
      </c>
      <c r="N251" s="123"/>
      <c r="O251" s="123">
        <f>ROUND(VLOOKUP(A251,'Contribution Allocation_Report'!$A$9:$D$311,4,FALSE)*'OPEB Amounts_Report'!$O$326,0)</f>
        <v>-115235</v>
      </c>
      <c r="P251" s="123">
        <f>INDEX('Change in Proportion Layers'!$AA$8:$AA$324,MATCH('OPEB Amounts_Report'!A251,'Change in Proportion Layers'!$A$8:$A$324,0))</f>
        <v>2761</v>
      </c>
      <c r="Q251" s="123">
        <f t="shared" si="11"/>
        <v>-112474</v>
      </c>
    </row>
    <row r="252" spans="1:17" ht="12" customHeight="1">
      <c r="A252" s="164">
        <v>2740</v>
      </c>
      <c r="B252" s="168" t="s">
        <v>238</v>
      </c>
      <c r="C252" s="120">
        <f>ROUND(VLOOKUP(A252,'Contribution Allocation_Report'!$A$9:$D$311,4,FALSE)*'OPEB Amounts_Report'!$C$326,0)</f>
        <v>119329</v>
      </c>
      <c r="D252" s="120">
        <f>ROUND(VLOOKUP(A252,'Contribution Allocation_Report'!$A$9:$D$311,4,FALSE)*'OPEB Amounts_Report'!$D$326,0)</f>
        <v>1985</v>
      </c>
      <c r="E252" s="120">
        <f>ROUND(VLOOKUP(A252,'Contribution Allocation_Report'!$A$9:$D$311,4,FALSE)*'OPEB Amounts_Report'!$E$326,0)</f>
        <v>1645</v>
      </c>
      <c r="F252" s="120">
        <f>ROUND(VLOOKUP(A252,'Contribution Allocation_Report'!$A$9:$D$311,4,FALSE)*'OPEB Amounts_Report'!$F$326,0)</f>
        <v>25462</v>
      </c>
      <c r="G252" s="120">
        <f>INDEX('Change in Proportion Layers'!$AC$8:$AC$324,MATCH('OPEB Amounts_Report'!A252,'Change in Proportion Layers'!$A$8:$A$324,0))</f>
        <v>59678</v>
      </c>
      <c r="H252" s="120">
        <f t="shared" si="10"/>
        <v>88770</v>
      </c>
      <c r="I252" s="120"/>
      <c r="J252" s="120">
        <f>ROUND(VLOOKUP(A252,'Contribution Allocation_Report'!$A$9:$D$311,4,FALSE)*'OPEB Amounts_Report'!$J$326,0)</f>
        <v>17687</v>
      </c>
      <c r="K252" s="120">
        <f>ROUND(VLOOKUP(A252,'Contribution Allocation_Report'!$A$9:$D$311,4,FALSE)*'OPEB Amounts_Report'!$K$326,0)</f>
        <v>88457</v>
      </c>
      <c r="L252" s="120">
        <f>INDEX('Change in Proportion Layers'!$AD$8:$AD$324,MATCH('OPEB Amounts_Report'!A252,'Change in Proportion Layers'!$A$8:$A$324,0))</f>
        <v>21495</v>
      </c>
      <c r="M252" s="120">
        <f t="shared" si="9"/>
        <v>127639</v>
      </c>
      <c r="N252" s="121"/>
      <c r="O252" s="121">
        <f>ROUND(VLOOKUP(A252,'Contribution Allocation_Report'!$A$9:$D$311,4,FALSE)*'OPEB Amounts_Report'!$O$326,0)</f>
        <v>-25104</v>
      </c>
      <c r="P252" s="121">
        <f>INDEX('Change in Proportion Layers'!$AA$8:$AA$324,MATCH('OPEB Amounts_Report'!A252,'Change in Proportion Layers'!$A$8:$A$324,0))</f>
        <v>5652</v>
      </c>
      <c r="Q252" s="121">
        <f t="shared" si="11"/>
        <v>-19452</v>
      </c>
    </row>
    <row r="253" spans="1:17" ht="12" customHeight="1">
      <c r="A253" s="166">
        <v>2346</v>
      </c>
      <c r="B253" s="167" t="s">
        <v>239</v>
      </c>
      <c r="C253" s="122">
        <f>ROUND(VLOOKUP(A253,'Contribution Allocation_Report'!$A$9:$D$311,4,FALSE)*'OPEB Amounts_Report'!$C$326,0)</f>
        <v>489352</v>
      </c>
      <c r="D253" s="122">
        <f>ROUND(VLOOKUP(A253,'Contribution Allocation_Report'!$A$9:$D$311,4,FALSE)*'OPEB Amounts_Report'!$D$326,0)</f>
        <v>8139</v>
      </c>
      <c r="E253" s="122">
        <f>ROUND(VLOOKUP(A253,'Contribution Allocation_Report'!$A$9:$D$311,4,FALSE)*'OPEB Amounts_Report'!$E$326,0)</f>
        <v>6748</v>
      </c>
      <c r="F253" s="122">
        <f>ROUND(VLOOKUP(A253,'Contribution Allocation_Report'!$A$9:$D$311,4,FALSE)*'OPEB Amounts_Report'!$F$326,0)</f>
        <v>104416</v>
      </c>
      <c r="G253" s="122">
        <f>INDEX('Change in Proportion Layers'!$AC$8:$AC$324,MATCH('OPEB Amounts_Report'!A253,'Change in Proportion Layers'!$A$8:$A$324,0))</f>
        <v>186390</v>
      </c>
      <c r="H253" s="122">
        <f t="shared" si="10"/>
        <v>305693</v>
      </c>
      <c r="I253" s="122"/>
      <c r="J253" s="122">
        <f>ROUND(VLOOKUP(A253,'Contribution Allocation_Report'!$A$9:$D$311,4,FALSE)*'OPEB Amounts_Report'!$J$326,0)</f>
        <v>72532</v>
      </c>
      <c r="K253" s="122">
        <f>ROUND(VLOOKUP(A253,'Contribution Allocation_Report'!$A$9:$D$311,4,FALSE)*'OPEB Amounts_Report'!$K$326,0)</f>
        <v>362751</v>
      </c>
      <c r="L253" s="122">
        <f>INDEX('Change in Proportion Layers'!$AD$8:$AD$324,MATCH('OPEB Amounts_Report'!A253,'Change in Proportion Layers'!$A$8:$A$324,0))</f>
        <v>11604</v>
      </c>
      <c r="M253" s="122">
        <f t="shared" si="9"/>
        <v>446887</v>
      </c>
      <c r="N253" s="123"/>
      <c r="O253" s="123">
        <f>ROUND(VLOOKUP(A253,'Contribution Allocation_Report'!$A$9:$D$311,4,FALSE)*'OPEB Amounts_Report'!$O$326,0)</f>
        <v>-102947</v>
      </c>
      <c r="P253" s="123">
        <f>INDEX('Change in Proportion Layers'!$AA$8:$AA$324,MATCH('OPEB Amounts_Report'!A253,'Change in Proportion Layers'!$A$8:$A$324,0))</f>
        <v>103724</v>
      </c>
      <c r="Q253" s="123">
        <f t="shared" si="11"/>
        <v>777</v>
      </c>
    </row>
    <row r="254" spans="1:17" ht="12" customHeight="1">
      <c r="A254" s="164">
        <v>21150</v>
      </c>
      <c r="B254" s="168" t="s">
        <v>240</v>
      </c>
      <c r="C254" s="120">
        <f>ROUND(VLOOKUP(A254,'Contribution Allocation_Report'!$A$9:$D$311,4,FALSE)*'OPEB Amounts_Report'!$C$326,0)</f>
        <v>1136080</v>
      </c>
      <c r="D254" s="120">
        <f>ROUND(VLOOKUP(A254,'Contribution Allocation_Report'!$A$9:$D$311,4,FALSE)*'OPEB Amounts_Report'!$D$326,0)</f>
        <v>18896</v>
      </c>
      <c r="E254" s="120">
        <f>ROUND(VLOOKUP(A254,'Contribution Allocation_Report'!$A$9:$D$311,4,FALSE)*'OPEB Amounts_Report'!$E$326,0)</f>
        <v>15665</v>
      </c>
      <c r="F254" s="120">
        <f>ROUND(VLOOKUP(A254,'Contribution Allocation_Report'!$A$9:$D$311,4,FALSE)*'OPEB Amounts_Report'!$F$326,0)</f>
        <v>242413</v>
      </c>
      <c r="G254" s="120">
        <f>INDEX('Change in Proportion Layers'!$AC$8:$AC$324,MATCH('OPEB Amounts_Report'!A254,'Change in Proportion Layers'!$A$8:$A$324,0))</f>
        <v>351908</v>
      </c>
      <c r="H254" s="120">
        <f t="shared" si="10"/>
        <v>628882</v>
      </c>
      <c r="I254" s="120"/>
      <c r="J254" s="120">
        <f>ROUND(VLOOKUP(A254,'Contribution Allocation_Report'!$A$9:$D$311,4,FALSE)*'OPEB Amounts_Report'!$J$326,0)</f>
        <v>168391</v>
      </c>
      <c r="K254" s="120">
        <f>ROUND(VLOOKUP(A254,'Contribution Allocation_Report'!$A$9:$D$311,4,FALSE)*'OPEB Amounts_Report'!$K$326,0)</f>
        <v>842163</v>
      </c>
      <c r="L254" s="120">
        <f>INDEX('Change in Proportion Layers'!$AD$8:$AD$324,MATCH('OPEB Amounts_Report'!A254,'Change in Proportion Layers'!$A$8:$A$324,0))</f>
        <v>48108</v>
      </c>
      <c r="M254" s="120">
        <f t="shared" si="9"/>
        <v>1058662</v>
      </c>
      <c r="N254" s="121"/>
      <c r="O254" s="121">
        <f>ROUND(VLOOKUP(A254,'Contribution Allocation_Report'!$A$9:$D$311,4,FALSE)*'OPEB Amounts_Report'!$O$326,0)</f>
        <v>-239001</v>
      </c>
      <c r="P254" s="121">
        <f>INDEX('Change in Proportion Layers'!$AA$8:$AA$324,MATCH('OPEB Amounts_Report'!A254,'Change in Proportion Layers'!$A$8:$A$324,0))</f>
        <v>151617</v>
      </c>
      <c r="Q254" s="121">
        <f t="shared" si="11"/>
        <v>-87384</v>
      </c>
    </row>
    <row r="255" spans="1:17" ht="12" customHeight="1">
      <c r="A255" s="166">
        <v>32098</v>
      </c>
      <c r="B255" s="167" t="s">
        <v>241</v>
      </c>
      <c r="C255" s="122">
        <f>ROUND(VLOOKUP(A255,'Contribution Allocation_Report'!$A$9:$D$311,4,FALSE)*'OPEB Amounts_Report'!$C$326,0)</f>
        <v>490012</v>
      </c>
      <c r="D255" s="122">
        <f>ROUND(VLOOKUP(A255,'Contribution Allocation_Report'!$A$9:$D$311,4,FALSE)*'OPEB Amounts_Report'!$D$326,0)</f>
        <v>8150</v>
      </c>
      <c r="E255" s="122">
        <f>ROUND(VLOOKUP(A255,'Contribution Allocation_Report'!$A$9:$D$311,4,FALSE)*'OPEB Amounts_Report'!$E$326,0)</f>
        <v>6757</v>
      </c>
      <c r="F255" s="122">
        <f>ROUND(VLOOKUP(A255,'Contribution Allocation_Report'!$A$9:$D$311,4,FALSE)*'OPEB Amounts_Report'!$F$326,0)</f>
        <v>104557</v>
      </c>
      <c r="G255" s="122">
        <f>INDEX('Change in Proportion Layers'!$AC$8:$AC$324,MATCH('OPEB Amounts_Report'!A255,'Change in Proportion Layers'!$A$8:$A$324,0))</f>
        <v>26763</v>
      </c>
      <c r="H255" s="122">
        <f t="shared" si="10"/>
        <v>146227</v>
      </c>
      <c r="I255" s="122"/>
      <c r="J255" s="122">
        <f>ROUND(VLOOKUP(A255,'Contribution Allocation_Report'!$A$9:$D$311,4,FALSE)*'OPEB Amounts_Report'!$J$326,0)</f>
        <v>72630</v>
      </c>
      <c r="K255" s="122">
        <f>ROUND(VLOOKUP(A255,'Contribution Allocation_Report'!$A$9:$D$311,4,FALSE)*'OPEB Amounts_Report'!$K$326,0)</f>
        <v>363240</v>
      </c>
      <c r="L255" s="122">
        <f>INDEX('Change in Proportion Layers'!$AD$8:$AD$324,MATCH('OPEB Amounts_Report'!A255,'Change in Proportion Layers'!$A$8:$A$324,0))</f>
        <v>152678</v>
      </c>
      <c r="M255" s="122">
        <f t="shared" si="9"/>
        <v>588548</v>
      </c>
      <c r="N255" s="123"/>
      <c r="O255" s="123">
        <f>ROUND(VLOOKUP(A255,'Contribution Allocation_Report'!$A$9:$D$311,4,FALSE)*'OPEB Amounts_Report'!$O$326,0)</f>
        <v>-103086</v>
      </c>
      <c r="P255" s="123">
        <f>INDEX('Change in Proportion Layers'!$AA$8:$AA$324,MATCH('OPEB Amounts_Report'!A255,'Change in Proportion Layers'!$A$8:$A$324,0))</f>
        <v>-13762</v>
      </c>
      <c r="Q255" s="123">
        <f t="shared" si="11"/>
        <v>-116848</v>
      </c>
    </row>
    <row r="256" spans="1:17" ht="12" customHeight="1">
      <c r="A256" s="164">
        <v>4520</v>
      </c>
      <c r="B256" s="168" t="s">
        <v>242</v>
      </c>
      <c r="C256" s="120">
        <f>ROUND(VLOOKUP(A256,'Contribution Allocation_Report'!$A$9:$D$311,4,FALSE)*'OPEB Amounts_Report'!$C$326,0)</f>
        <v>72407</v>
      </c>
      <c r="D256" s="120">
        <f>ROUND(VLOOKUP(A256,'Contribution Allocation_Report'!$A$9:$D$311,4,FALSE)*'OPEB Amounts_Report'!$D$326,0)</f>
        <v>1204</v>
      </c>
      <c r="E256" s="120">
        <f>ROUND(VLOOKUP(A256,'Contribution Allocation_Report'!$A$9:$D$311,4,FALSE)*'OPEB Amounts_Report'!$E$326,0)</f>
        <v>998</v>
      </c>
      <c r="F256" s="120">
        <f>ROUND(VLOOKUP(A256,'Contribution Allocation_Report'!$A$9:$D$311,4,FALSE)*'OPEB Amounts_Report'!$F$326,0)</f>
        <v>15450</v>
      </c>
      <c r="G256" s="130">
        <f>INDEX('Change in Proportion Layers'!$AC$8:$AC$324,MATCH('OPEB Amounts_Report'!A256,'Change in Proportion Layers'!$A$8:$A$324,0))</f>
        <v>11459</v>
      </c>
      <c r="H256" s="120">
        <f t="shared" si="10"/>
        <v>29111</v>
      </c>
      <c r="I256" s="120"/>
      <c r="J256" s="120">
        <f>ROUND(VLOOKUP(A256,'Contribution Allocation_Report'!$A$9:$D$311,4,FALSE)*'OPEB Amounts_Report'!$J$326,0)</f>
        <v>10732</v>
      </c>
      <c r="K256" s="120">
        <f>ROUND(VLOOKUP(A256,'Contribution Allocation_Report'!$A$9:$D$311,4,FALSE)*'OPEB Amounts_Report'!$K$326,0)</f>
        <v>53675</v>
      </c>
      <c r="L256" s="120">
        <f>INDEX('Change in Proportion Layers'!$AD$8:$AD$324,MATCH('OPEB Amounts_Report'!A256,'Change in Proportion Layers'!$A$8:$A$324,0))</f>
        <v>1280</v>
      </c>
      <c r="M256" s="120">
        <f t="shared" si="9"/>
        <v>65687</v>
      </c>
      <c r="N256" s="121"/>
      <c r="O256" s="121">
        <f>ROUND(VLOOKUP(A256,'Contribution Allocation_Report'!$A$9:$D$311,4,FALSE)*'OPEB Amounts_Report'!$O$326,0)</f>
        <v>-15233</v>
      </c>
      <c r="P256" s="121">
        <f>INDEX('Change in Proportion Layers'!$AA$8:$AA$324,MATCH('OPEB Amounts_Report'!A256,'Change in Proportion Layers'!$A$8:$A$324,0))</f>
        <v>3169</v>
      </c>
      <c r="Q256" s="121">
        <f t="shared" si="11"/>
        <v>-12064</v>
      </c>
    </row>
    <row r="257" spans="1:17" ht="12" customHeight="1">
      <c r="A257" s="166">
        <v>9030</v>
      </c>
      <c r="B257" s="167" t="s">
        <v>243</v>
      </c>
      <c r="C257" s="122">
        <f>ROUND(VLOOKUP(A257,'Contribution Allocation_Report'!$A$9:$D$311,4,FALSE)*'OPEB Amounts_Report'!$C$326,0)</f>
        <v>678403</v>
      </c>
      <c r="D257" s="122">
        <f>ROUND(VLOOKUP(A257,'Contribution Allocation_Report'!$A$9:$D$311,4,FALSE)*'OPEB Amounts_Report'!$D$326,0)</f>
        <v>11284</v>
      </c>
      <c r="E257" s="122">
        <f>ROUND(VLOOKUP(A257,'Contribution Allocation_Report'!$A$9:$D$311,4,FALSE)*'OPEB Amounts_Report'!$E$326,0)</f>
        <v>9355</v>
      </c>
      <c r="F257" s="122">
        <f>ROUND(VLOOKUP(A257,'Contribution Allocation_Report'!$A$9:$D$311,4,FALSE)*'OPEB Amounts_Report'!$F$326,0)</f>
        <v>144755</v>
      </c>
      <c r="G257" s="122">
        <f>INDEX('Change in Proportion Layers'!$AC$8:$AC$324,MATCH('OPEB Amounts_Report'!A257,'Change in Proportion Layers'!$A$8:$A$324,0))</f>
        <v>8595</v>
      </c>
      <c r="H257" s="122">
        <f t="shared" si="10"/>
        <v>173989</v>
      </c>
      <c r="I257" s="122"/>
      <c r="J257" s="122">
        <f>ROUND(VLOOKUP(A257,'Contribution Allocation_Report'!$A$9:$D$311,4,FALSE)*'OPEB Amounts_Report'!$J$326,0)</f>
        <v>100554</v>
      </c>
      <c r="K257" s="122">
        <f>ROUND(VLOOKUP(A257,'Contribution Allocation_Report'!$A$9:$D$311,4,FALSE)*'OPEB Amounts_Report'!$K$326,0)</f>
        <v>502893</v>
      </c>
      <c r="L257" s="131">
        <f>INDEX('Change in Proportion Layers'!$AD$8:$AD$324,MATCH('OPEB Amounts_Report'!A257,'Change in Proportion Layers'!$A$8:$A$324,0))</f>
        <v>34846</v>
      </c>
      <c r="M257" s="122">
        <f t="shared" si="9"/>
        <v>638293</v>
      </c>
      <c r="N257" s="123"/>
      <c r="O257" s="123">
        <f>ROUND(VLOOKUP(A257,'Contribution Allocation_Report'!$A$9:$D$311,4,FALSE)*'OPEB Amounts_Report'!$O$326,0)</f>
        <v>-142718</v>
      </c>
      <c r="P257" s="123">
        <f>INDEX('Change in Proportion Layers'!$AA$8:$AA$324,MATCH('OPEB Amounts_Report'!A257,'Change in Proportion Layers'!$A$8:$A$324,0))</f>
        <v>-13480</v>
      </c>
      <c r="Q257" s="123">
        <f t="shared" si="11"/>
        <v>-156198</v>
      </c>
    </row>
    <row r="258" spans="1:17" ht="12" customHeight="1">
      <c r="A258" s="164">
        <v>20265</v>
      </c>
      <c r="B258" s="168" t="s">
        <v>244</v>
      </c>
      <c r="C258" s="120">
        <f>ROUND(VLOOKUP(A258,'Contribution Allocation_Report'!$A$9:$D$311,4,FALSE)*'OPEB Amounts_Report'!$C$326,0)</f>
        <v>783828</v>
      </c>
      <c r="D258" s="120">
        <f>ROUND(VLOOKUP(A258,'Contribution Allocation_Report'!$A$9:$D$311,4,FALSE)*'OPEB Amounts_Report'!$D$326,0)</f>
        <v>13037</v>
      </c>
      <c r="E258" s="120">
        <f>ROUND(VLOOKUP(A258,'Contribution Allocation_Report'!$A$9:$D$311,4,FALSE)*'OPEB Amounts_Report'!$E$326,0)</f>
        <v>10808</v>
      </c>
      <c r="F258" s="120">
        <f>ROUND(VLOOKUP(A258,'Contribution Allocation_Report'!$A$9:$D$311,4,FALSE)*'OPEB Amounts_Report'!$F$326,0)</f>
        <v>167250</v>
      </c>
      <c r="G258" s="130">
        <f>INDEX('Change in Proportion Layers'!$AC$8:$AC$324,MATCH('OPEB Amounts_Report'!A258,'Change in Proportion Layers'!$A$8:$A$324,0))</f>
        <v>286623</v>
      </c>
      <c r="H258" s="120">
        <f t="shared" si="10"/>
        <v>477718</v>
      </c>
      <c r="I258" s="120"/>
      <c r="J258" s="120">
        <f>ROUND(VLOOKUP(A258,'Contribution Allocation_Report'!$A$9:$D$311,4,FALSE)*'OPEB Amounts_Report'!$J$326,0)</f>
        <v>116180</v>
      </c>
      <c r="K258" s="120">
        <f>ROUND(VLOOKUP(A258,'Contribution Allocation_Report'!$A$9:$D$311,4,FALSE)*'OPEB Amounts_Report'!$K$326,0)</f>
        <v>581043</v>
      </c>
      <c r="L258" s="120">
        <f>INDEX('Change in Proportion Layers'!$AD$8:$AD$324,MATCH('OPEB Amounts_Report'!A258,'Change in Proportion Layers'!$A$8:$A$324,0))</f>
        <v>108416</v>
      </c>
      <c r="M258" s="120">
        <f t="shared" si="9"/>
        <v>805639</v>
      </c>
      <c r="N258" s="121"/>
      <c r="O258" s="121">
        <f>ROUND(VLOOKUP(A258,'Contribution Allocation_Report'!$A$9:$D$311,4,FALSE)*'OPEB Amounts_Report'!$O$326,0)</f>
        <v>-164897</v>
      </c>
      <c r="P258" s="121">
        <f>INDEX('Change in Proportion Layers'!$AA$8:$AA$324,MATCH('OPEB Amounts_Report'!A258,'Change in Proportion Layers'!$A$8:$A$324,0))</f>
        <v>42529</v>
      </c>
      <c r="Q258" s="121">
        <f t="shared" si="11"/>
        <v>-122368</v>
      </c>
    </row>
    <row r="259" spans="1:17" ht="12" customHeight="1">
      <c r="A259" s="166">
        <v>20307</v>
      </c>
      <c r="B259" s="167" t="s">
        <v>245</v>
      </c>
      <c r="C259" s="122">
        <f>ROUND(VLOOKUP(A259,'Contribution Allocation_Report'!$A$9:$D$311,4,FALSE)*'OPEB Amounts_Report'!$C$326,0)</f>
        <v>711694</v>
      </c>
      <c r="D259" s="122">
        <f>ROUND(VLOOKUP(A259,'Contribution Allocation_Report'!$A$9:$D$311,4,FALSE)*'OPEB Amounts_Report'!$D$326,0)</f>
        <v>11838</v>
      </c>
      <c r="E259" s="122">
        <f>ROUND(VLOOKUP(A259,'Contribution Allocation_Report'!$A$9:$D$311,4,FALSE)*'OPEB Amounts_Report'!$E$326,0)</f>
        <v>9814</v>
      </c>
      <c r="F259" s="122">
        <f>ROUND(VLOOKUP(A259,'Contribution Allocation_Report'!$A$9:$D$311,4,FALSE)*'OPEB Amounts_Report'!$F$326,0)</f>
        <v>151859</v>
      </c>
      <c r="G259" s="122">
        <f>INDEX('Change in Proportion Layers'!$AC$8:$AC$324,MATCH('OPEB Amounts_Report'!A259,'Change in Proportion Layers'!$A$8:$A$324,0))</f>
        <v>322198</v>
      </c>
      <c r="H259" s="122">
        <f t="shared" si="10"/>
        <v>495709</v>
      </c>
      <c r="I259" s="122"/>
      <c r="J259" s="122">
        <f>ROUND(VLOOKUP(A259,'Contribution Allocation_Report'!$A$9:$D$311,4,FALSE)*'OPEB Amounts_Report'!$J$326,0)</f>
        <v>105488</v>
      </c>
      <c r="K259" s="122">
        <f>ROUND(VLOOKUP(A259,'Contribution Allocation_Report'!$A$9:$D$311,4,FALSE)*'OPEB Amounts_Report'!$K$326,0)</f>
        <v>527571</v>
      </c>
      <c r="L259" s="122">
        <f>INDEX('Change in Proportion Layers'!$AD$8:$AD$324,MATCH('OPEB Amounts_Report'!A259,'Change in Proportion Layers'!$A$8:$A$324,0))</f>
        <v>64758</v>
      </c>
      <c r="M259" s="122">
        <f t="shared" si="9"/>
        <v>697817</v>
      </c>
      <c r="N259" s="123"/>
      <c r="O259" s="123">
        <f>ROUND(VLOOKUP(A259,'Contribution Allocation_Report'!$A$9:$D$311,4,FALSE)*'OPEB Amounts_Report'!$O$326,0)</f>
        <v>-149722</v>
      </c>
      <c r="P259" s="123">
        <f>INDEX('Change in Proportion Layers'!$AA$8:$AA$324,MATCH('OPEB Amounts_Report'!A259,'Change in Proportion Layers'!$A$8:$A$324,0))</f>
        <v>94562</v>
      </c>
      <c r="Q259" s="123">
        <f t="shared" si="11"/>
        <v>-55160</v>
      </c>
    </row>
    <row r="260" spans="1:17" ht="12" customHeight="1">
      <c r="A260" s="164">
        <v>3320</v>
      </c>
      <c r="B260" s="168" t="s">
        <v>246</v>
      </c>
      <c r="C260" s="120">
        <f>ROUND(VLOOKUP(A260,'Contribution Allocation_Report'!$A$9:$D$311,4,FALSE)*'OPEB Amounts_Report'!$C$326,0)</f>
        <v>4377956</v>
      </c>
      <c r="D260" s="120">
        <f>ROUND(VLOOKUP(A260,'Contribution Allocation_Report'!$A$9:$D$311,4,FALSE)*'OPEB Amounts_Report'!$D$326,0)</f>
        <v>72818</v>
      </c>
      <c r="E260" s="120">
        <f>ROUND(VLOOKUP(A260,'Contribution Allocation_Report'!$A$9:$D$311,4,FALSE)*'OPEB Amounts_Report'!$E$326,0)</f>
        <v>60368</v>
      </c>
      <c r="F260" s="120">
        <f>ROUND(VLOOKUP(A260,'Contribution Allocation_Report'!$A$9:$D$311,4,FALSE)*'OPEB Amounts_Report'!$F$326,0)</f>
        <v>934152</v>
      </c>
      <c r="G260" s="120">
        <f>INDEX('Change in Proportion Layers'!$AC$8:$AC$324,MATCH('OPEB Amounts_Report'!A260,'Change in Proportion Layers'!$A$8:$A$324,0))</f>
        <v>331326</v>
      </c>
      <c r="H260" s="120">
        <f t="shared" si="10"/>
        <v>1398664</v>
      </c>
      <c r="I260" s="120"/>
      <c r="J260" s="120">
        <f>ROUND(VLOOKUP(A260,'Contribution Allocation_Report'!$A$9:$D$311,4,FALSE)*'OPEB Amounts_Report'!$J$326,0)</f>
        <v>648906</v>
      </c>
      <c r="K260" s="120">
        <f>ROUND(VLOOKUP(A260,'Contribution Allocation_Report'!$A$9:$D$311,4,FALSE)*'OPEB Amounts_Report'!$K$326,0)</f>
        <v>3245330</v>
      </c>
      <c r="L260" s="120">
        <f>INDEX('Change in Proportion Layers'!$AD$8:$AD$324,MATCH('OPEB Amounts_Report'!A260,'Change in Proportion Layers'!$A$8:$A$324,0))</f>
        <v>1104922</v>
      </c>
      <c r="M260" s="120">
        <f t="shared" si="9"/>
        <v>4999158</v>
      </c>
      <c r="N260" s="121"/>
      <c r="O260" s="121">
        <f>ROUND(VLOOKUP(A260,'Contribution Allocation_Report'!$A$9:$D$311,4,FALSE)*'OPEB Amounts_Report'!$O$326,0)</f>
        <v>-921006</v>
      </c>
      <c r="P260" s="121">
        <f>INDEX('Change in Proportion Layers'!$AA$8:$AA$324,MATCH('OPEB Amounts_Report'!A260,'Change in Proportion Layers'!$A$8:$A$324,0))</f>
        <v>-243744</v>
      </c>
      <c r="Q260" s="121">
        <f t="shared" si="11"/>
        <v>-1164750</v>
      </c>
    </row>
    <row r="261" spans="1:17" ht="12" customHeight="1">
      <c r="A261" s="166">
        <v>20415</v>
      </c>
      <c r="B261" s="167" t="s">
        <v>247</v>
      </c>
      <c r="C261" s="122">
        <f>ROUND(VLOOKUP(A261,'Contribution Allocation_Report'!$A$9:$D$311,4,FALSE)*'OPEB Amounts_Report'!$C$326,0)</f>
        <v>530721</v>
      </c>
      <c r="D261" s="122">
        <f>ROUND(VLOOKUP(A261,'Contribution Allocation_Report'!$A$9:$D$311,4,FALSE)*'OPEB Amounts_Report'!$D$326,0)</f>
        <v>8827</v>
      </c>
      <c r="E261" s="122">
        <f>ROUND(VLOOKUP(A261,'Contribution Allocation_Report'!$A$9:$D$311,4,FALSE)*'OPEB Amounts_Report'!$E$326,0)</f>
        <v>7318</v>
      </c>
      <c r="F261" s="122">
        <f>ROUND(VLOOKUP(A261,'Contribution Allocation_Report'!$A$9:$D$311,4,FALSE)*'OPEB Amounts_Report'!$F$326,0)</f>
        <v>113243</v>
      </c>
      <c r="G261" s="122">
        <f>INDEX('Change in Proportion Layers'!$AC$8:$AC$324,MATCH('OPEB Amounts_Report'!A261,'Change in Proportion Layers'!$A$8:$A$324,0))</f>
        <v>236011</v>
      </c>
      <c r="H261" s="122">
        <f t="shared" si="10"/>
        <v>365399</v>
      </c>
      <c r="I261" s="122"/>
      <c r="J261" s="122">
        <f>ROUND(VLOOKUP(A261,'Contribution Allocation_Report'!$A$9:$D$311,4,FALSE)*'OPEB Amounts_Report'!$J$326,0)</f>
        <v>78664</v>
      </c>
      <c r="K261" s="122">
        <f>ROUND(VLOOKUP(A261,'Contribution Allocation_Report'!$A$9:$D$311,4,FALSE)*'OPEB Amounts_Report'!$K$326,0)</f>
        <v>393418</v>
      </c>
      <c r="L261" s="122">
        <f>INDEX('Change in Proportion Layers'!$AD$8:$AD$324,MATCH('OPEB Amounts_Report'!A261,'Change in Proportion Layers'!$A$8:$A$324,0))</f>
        <v>68181</v>
      </c>
      <c r="M261" s="122">
        <f t="shared" si="9"/>
        <v>540263</v>
      </c>
      <c r="N261" s="123"/>
      <c r="O261" s="123">
        <f>ROUND(VLOOKUP(A261,'Contribution Allocation_Report'!$A$9:$D$311,4,FALSE)*'OPEB Amounts_Report'!$O$326,0)</f>
        <v>-111650</v>
      </c>
      <c r="P261" s="123">
        <f>INDEX('Change in Proportion Layers'!$AA$8:$AA$324,MATCH('OPEB Amounts_Report'!A261,'Change in Proportion Layers'!$A$8:$A$324,0))</f>
        <v>42303</v>
      </c>
      <c r="Q261" s="123">
        <f t="shared" si="11"/>
        <v>-69347</v>
      </c>
    </row>
    <row r="262" spans="1:17" ht="12" customHeight="1">
      <c r="A262" s="164">
        <v>20435</v>
      </c>
      <c r="B262" s="168" t="s">
        <v>435</v>
      </c>
      <c r="C262" s="120">
        <f>ROUND(VLOOKUP(A262,'Contribution Allocation_Report'!$A$9:$D$311,4,FALSE)*'OPEB Amounts_Report'!$C$326,0)</f>
        <v>665546</v>
      </c>
      <c r="D262" s="120">
        <f>ROUND(VLOOKUP(A262,'Contribution Allocation_Report'!$A$9:$D$311,4,FALSE)*'OPEB Amounts_Report'!$D$326,0)</f>
        <v>11070</v>
      </c>
      <c r="E262" s="120">
        <f>ROUND(VLOOKUP(A262,'Contribution Allocation_Report'!$A$9:$D$311,4,FALSE)*'OPEB Amounts_Report'!$E$326,0)</f>
        <v>9177</v>
      </c>
      <c r="F262" s="120">
        <f>ROUND(VLOOKUP(A262,'Contribution Allocation_Report'!$A$9:$D$311,4,FALSE)*'OPEB Amounts_Report'!$F$326,0)</f>
        <v>142012</v>
      </c>
      <c r="G262" s="120">
        <f>INDEX('Change in Proportion Layers'!$AC$8:$AC$324,MATCH('OPEB Amounts_Report'!A262,'Change in Proportion Layers'!$A$8:$A$324,0))</f>
        <v>303556</v>
      </c>
      <c r="H262" s="120">
        <f t="shared" si="10"/>
        <v>465815</v>
      </c>
      <c r="I262" s="120"/>
      <c r="J262" s="120">
        <f>ROUND(VLOOKUP(A262,'Contribution Allocation_Report'!$A$9:$D$311,4,FALSE)*'OPEB Amounts_Report'!$J$326,0)</f>
        <v>98648</v>
      </c>
      <c r="K262" s="120">
        <f>ROUND(VLOOKUP(A262,'Contribution Allocation_Report'!$A$9:$D$311,4,FALSE)*'OPEB Amounts_Report'!$K$326,0)</f>
        <v>493362</v>
      </c>
      <c r="L262" s="130">
        <f>INDEX('Change in Proportion Layers'!$AD$8:$AD$324,MATCH('OPEB Amounts_Report'!A262,'Change in Proportion Layers'!$A$8:$A$324,0))</f>
        <v>69533</v>
      </c>
      <c r="M262" s="120">
        <f t="shared" si="9"/>
        <v>661543</v>
      </c>
      <c r="N262" s="121"/>
      <c r="O262" s="121">
        <f>ROUND(VLOOKUP(A262,'Contribution Allocation_Report'!$A$9:$D$311,4,FALSE)*'OPEB Amounts_Report'!$O$326,0)</f>
        <v>-140013</v>
      </c>
      <c r="P262" s="121">
        <f>INDEX('Change in Proportion Layers'!$AA$8:$AA$324,MATCH('OPEB Amounts_Report'!A262,'Change in Proportion Layers'!$A$8:$A$324,0))</f>
        <v>58106</v>
      </c>
      <c r="Q262" s="121">
        <f t="shared" si="11"/>
        <v>-81907</v>
      </c>
    </row>
    <row r="263" spans="1:17" ht="12" customHeight="1">
      <c r="A263" s="166">
        <v>20062</v>
      </c>
      <c r="B263" s="167" t="s">
        <v>248</v>
      </c>
      <c r="C263" s="122">
        <f>ROUND(VLOOKUP(A263,'Contribution Allocation_Report'!$A$9:$D$311,4,FALSE)*'OPEB Amounts_Report'!$C$326,0)</f>
        <v>6804078</v>
      </c>
      <c r="D263" s="122">
        <f>ROUND(VLOOKUP(A263,'Contribution Allocation_Report'!$A$9:$D$311,4,FALSE)*'OPEB Amounts_Report'!$D$326,0)</f>
        <v>113172</v>
      </c>
      <c r="E263" s="122">
        <f>ROUND(VLOOKUP(A263,'Contribution Allocation_Report'!$A$9:$D$311,4,FALSE)*'OPEB Amounts_Report'!$E$326,0)</f>
        <v>93822</v>
      </c>
      <c r="F263" s="122">
        <f>ROUND(VLOOKUP(A263,'Contribution Allocation_Report'!$A$9:$D$311,4,FALSE)*'OPEB Amounts_Report'!$F$326,0)</f>
        <v>1451829</v>
      </c>
      <c r="G263" s="122">
        <f>INDEX('Change in Proportion Layers'!$AC$8:$AC$324,MATCH('OPEB Amounts_Report'!A263,'Change in Proportion Layers'!$A$8:$A$324,0))</f>
        <v>470340</v>
      </c>
      <c r="H263" s="122">
        <f t="shared" si="10"/>
        <v>2129163</v>
      </c>
      <c r="I263" s="122"/>
      <c r="J263" s="122">
        <f>ROUND(VLOOKUP(A263,'Contribution Allocation_Report'!$A$9:$D$311,4,FALSE)*'OPEB Amounts_Report'!$J$326,0)</f>
        <v>1008509</v>
      </c>
      <c r="K263" s="122">
        <f>ROUND(VLOOKUP(A263,'Contribution Allocation_Report'!$A$9:$D$311,4,FALSE)*'OPEB Amounts_Report'!$K$326,0)</f>
        <v>5043787</v>
      </c>
      <c r="L263" s="122">
        <f>INDEX('Change in Proportion Layers'!$AD$8:$AD$324,MATCH('OPEB Amounts_Report'!A263,'Change in Proportion Layers'!$A$8:$A$324,0))</f>
        <v>780047</v>
      </c>
      <c r="M263" s="122">
        <f t="shared" si="9"/>
        <v>6832343</v>
      </c>
      <c r="N263" s="123"/>
      <c r="O263" s="123">
        <f>ROUND(VLOOKUP(A263,'Contribution Allocation_Report'!$A$9:$D$311,4,FALSE)*'OPEB Amounts_Report'!$O$326,0)</f>
        <v>-1431398</v>
      </c>
      <c r="P263" s="123">
        <f>INDEX('Change in Proportion Layers'!$AA$8:$AA$324,MATCH('OPEB Amounts_Report'!A263,'Change in Proportion Layers'!$A$8:$A$324,0))</f>
        <v>-110349</v>
      </c>
      <c r="Q263" s="123">
        <f t="shared" si="11"/>
        <v>-1541747</v>
      </c>
    </row>
    <row r="264" spans="1:17" ht="12" customHeight="1">
      <c r="A264" s="164">
        <v>6020</v>
      </c>
      <c r="B264" s="168" t="s">
        <v>249</v>
      </c>
      <c r="C264" s="120">
        <f>ROUND(VLOOKUP(A264,'Contribution Allocation_Report'!$A$9:$D$311,4,FALSE)*'OPEB Amounts_Report'!$C$326,0)</f>
        <v>1324676</v>
      </c>
      <c r="D264" s="120">
        <f>ROUND(VLOOKUP(A264,'Contribution Allocation_Report'!$A$9:$D$311,4,FALSE)*'OPEB Amounts_Report'!$D$326,0)</f>
        <v>22033</v>
      </c>
      <c r="E264" s="120">
        <f>ROUND(VLOOKUP(A264,'Contribution Allocation_Report'!$A$9:$D$311,4,FALSE)*'OPEB Amounts_Report'!$E$326,0)</f>
        <v>18266</v>
      </c>
      <c r="F264" s="120">
        <f>ROUND(VLOOKUP(A264,'Contribution Allocation_Report'!$A$9:$D$311,4,FALSE)*'OPEB Amounts_Report'!$F$326,0)</f>
        <v>282654</v>
      </c>
      <c r="G264" s="120">
        <f>INDEX('Change in Proportion Layers'!$AC$8:$AC$324,MATCH('OPEB Amounts_Report'!A264,'Change in Proportion Layers'!$A$8:$A$324,0))</f>
        <v>93232</v>
      </c>
      <c r="H264" s="120">
        <f t="shared" si="10"/>
        <v>416185</v>
      </c>
      <c r="I264" s="120"/>
      <c r="J264" s="120">
        <f>ROUND(VLOOKUP(A264,'Contribution Allocation_Report'!$A$9:$D$311,4,FALSE)*'OPEB Amounts_Report'!$J$326,0)</f>
        <v>196345</v>
      </c>
      <c r="K264" s="120">
        <f>ROUND(VLOOKUP(A264,'Contribution Allocation_Report'!$A$9:$D$311,4,FALSE)*'OPEB Amounts_Report'!$K$326,0)</f>
        <v>981967</v>
      </c>
      <c r="L264" s="120">
        <f>INDEX('Change in Proportion Layers'!$AD$8:$AD$324,MATCH('OPEB Amounts_Report'!A264,'Change in Proportion Layers'!$A$8:$A$324,0))</f>
        <v>113703</v>
      </c>
      <c r="M264" s="120">
        <f t="shared" si="9"/>
        <v>1292015</v>
      </c>
      <c r="N264" s="121"/>
      <c r="O264" s="121">
        <f>ROUND(VLOOKUP(A264,'Contribution Allocation_Report'!$A$9:$D$311,4,FALSE)*'OPEB Amounts_Report'!$O$326,0)</f>
        <v>-278677</v>
      </c>
      <c r="P264" s="121">
        <f>INDEX('Change in Proportion Layers'!$AA$8:$AA$324,MATCH('OPEB Amounts_Report'!A264,'Change in Proportion Layers'!$A$8:$A$324,0))</f>
        <v>-26735</v>
      </c>
      <c r="Q264" s="121">
        <f t="shared" si="11"/>
        <v>-305412</v>
      </c>
    </row>
    <row r="265" spans="1:17" ht="12" customHeight="1">
      <c r="A265" s="166">
        <v>2394</v>
      </c>
      <c r="B265" s="167" t="s">
        <v>250</v>
      </c>
      <c r="C265" s="122">
        <f>ROUND(VLOOKUP(A265,'Contribution Allocation_Report'!$A$9:$D$311,4,FALSE)*'OPEB Amounts_Report'!$C$326,0)</f>
        <v>790905</v>
      </c>
      <c r="D265" s="122">
        <f>ROUND(VLOOKUP(A265,'Contribution Allocation_Report'!$A$9:$D$311,4,FALSE)*'OPEB Amounts_Report'!$D$326,0)</f>
        <v>13155</v>
      </c>
      <c r="E265" s="122">
        <f>ROUND(VLOOKUP(A265,'Contribution Allocation_Report'!$A$9:$D$311,4,FALSE)*'OPEB Amounts_Report'!$E$326,0)</f>
        <v>10906</v>
      </c>
      <c r="F265" s="122">
        <f>ROUND(VLOOKUP(A265,'Contribution Allocation_Report'!$A$9:$D$311,4,FALSE)*'OPEB Amounts_Report'!$F$326,0)</f>
        <v>168760</v>
      </c>
      <c r="G265" s="122">
        <f>INDEX('Change in Proportion Layers'!$AC$8:$AC$324,MATCH('OPEB Amounts_Report'!A265,'Change in Proportion Layers'!$A$8:$A$324,0))</f>
        <v>254509</v>
      </c>
      <c r="H265" s="122">
        <f t="shared" si="10"/>
        <v>447330</v>
      </c>
      <c r="I265" s="122"/>
      <c r="J265" s="122">
        <f>ROUND(VLOOKUP(A265,'Contribution Allocation_Report'!$A$9:$D$311,4,FALSE)*'OPEB Amounts_Report'!$J$326,0)</f>
        <v>117229</v>
      </c>
      <c r="K265" s="122">
        <f>ROUND(VLOOKUP(A265,'Contribution Allocation_Report'!$A$9:$D$311,4,FALSE)*'OPEB Amounts_Report'!$K$326,0)</f>
        <v>586289</v>
      </c>
      <c r="L265" s="122">
        <f>INDEX('Change in Proportion Layers'!$AD$8:$AD$324,MATCH('OPEB Amounts_Report'!A265,'Change in Proportion Layers'!$A$8:$A$324,0))</f>
        <v>0</v>
      </c>
      <c r="M265" s="122">
        <f t="shared" si="9"/>
        <v>703518</v>
      </c>
      <c r="N265" s="123"/>
      <c r="O265" s="123">
        <f>ROUND(VLOOKUP(A265,'Contribution Allocation_Report'!$A$9:$D$311,4,FALSE)*'OPEB Amounts_Report'!$O$326,0)</f>
        <v>-166386</v>
      </c>
      <c r="P265" s="123">
        <f>INDEX('Change in Proportion Layers'!$AA$8:$AA$324,MATCH('OPEB Amounts_Report'!A265,'Change in Proportion Layers'!$A$8:$A$324,0))</f>
        <v>143510</v>
      </c>
      <c r="Q265" s="123">
        <f t="shared" si="11"/>
        <v>-22876</v>
      </c>
    </row>
    <row r="266" spans="1:17" ht="12" customHeight="1">
      <c r="A266" s="164">
        <v>5015</v>
      </c>
      <c r="B266" s="168" t="s">
        <v>251</v>
      </c>
      <c r="C266" s="120">
        <f>ROUND(VLOOKUP(A266,'Contribution Allocation_Report'!$A$9:$D$311,4,FALSE)*'OPEB Amounts_Report'!$C$326,0)</f>
        <v>1913560</v>
      </c>
      <c r="D266" s="120">
        <f>ROUND(VLOOKUP(A266,'Contribution Allocation_Report'!$A$9:$D$311,4,FALSE)*'OPEB Amounts_Report'!$D$326,0)</f>
        <v>31828</v>
      </c>
      <c r="E266" s="120">
        <f>ROUND(VLOOKUP(A266,'Contribution Allocation_Report'!$A$9:$D$311,4,FALSE)*'OPEB Amounts_Report'!$E$326,0)</f>
        <v>26386</v>
      </c>
      <c r="F266" s="120">
        <f>ROUND(VLOOKUP(A266,'Contribution Allocation_Report'!$A$9:$D$311,4,FALSE)*'OPEB Amounts_Report'!$F$326,0)</f>
        <v>408308</v>
      </c>
      <c r="G266" s="120">
        <f>INDEX('Change in Proportion Layers'!$AC$8:$AC$324,MATCH('OPEB Amounts_Report'!A266,'Change in Proportion Layers'!$A$8:$A$324,0))</f>
        <v>144043</v>
      </c>
      <c r="H266" s="120">
        <f t="shared" si="10"/>
        <v>610565</v>
      </c>
      <c r="I266" s="120"/>
      <c r="J266" s="120">
        <f>ROUND(VLOOKUP(A266,'Contribution Allocation_Report'!$A$9:$D$311,4,FALSE)*'OPEB Amounts_Report'!$J$326,0)</f>
        <v>283630</v>
      </c>
      <c r="K266" s="120">
        <f>ROUND(VLOOKUP(A266,'Contribution Allocation_Report'!$A$9:$D$311,4,FALSE)*'OPEB Amounts_Report'!$K$326,0)</f>
        <v>1418500</v>
      </c>
      <c r="L266" s="130">
        <f>INDEX('Change in Proportion Layers'!$AD$8:$AD$324,MATCH('OPEB Amounts_Report'!A266,'Change in Proportion Layers'!$A$8:$A$324,0))</f>
        <v>91166</v>
      </c>
      <c r="M266" s="120">
        <f t="shared" ref="M266:M324" si="12">SUM(J266:L266)</f>
        <v>1793296</v>
      </c>
      <c r="N266" s="121"/>
      <c r="O266" s="121">
        <f>ROUND(VLOOKUP(A266,'Contribution Allocation_Report'!$A$9:$D$311,4,FALSE)*'OPEB Amounts_Report'!$O$326,0)</f>
        <v>-402562</v>
      </c>
      <c r="P266" s="121">
        <f>INDEX('Change in Proportion Layers'!$AA$8:$AA$324,MATCH('OPEB Amounts_Report'!A266,'Change in Proportion Layers'!$A$8:$A$324,0))</f>
        <v>-7114</v>
      </c>
      <c r="Q266" s="121">
        <f t="shared" si="11"/>
        <v>-409676</v>
      </c>
    </row>
    <row r="267" spans="1:17" ht="12" customHeight="1">
      <c r="A267" s="166">
        <v>29408</v>
      </c>
      <c r="B267" s="167" t="s">
        <v>252</v>
      </c>
      <c r="C267" s="122">
        <f>ROUND(VLOOKUP(A267,'Contribution Allocation_Report'!$A$9:$D$311,4,FALSE)*'OPEB Amounts_Report'!$C$326,0)</f>
        <v>1239093</v>
      </c>
      <c r="D267" s="122">
        <f>ROUND(VLOOKUP(A267,'Contribution Allocation_Report'!$A$9:$D$311,4,FALSE)*'OPEB Amounts_Report'!$D$326,0)</f>
        <v>20610</v>
      </c>
      <c r="E267" s="122">
        <f>ROUND(VLOOKUP(A267,'Contribution Allocation_Report'!$A$9:$D$311,4,FALSE)*'OPEB Amounts_Report'!$E$326,0)</f>
        <v>17086</v>
      </c>
      <c r="F267" s="122">
        <f>ROUND(VLOOKUP(A267,'Contribution Allocation_Report'!$A$9:$D$311,4,FALSE)*'OPEB Amounts_Report'!$F$326,0)</f>
        <v>264393</v>
      </c>
      <c r="G267" s="122">
        <f>INDEX('Change in Proportion Layers'!$AC$8:$AC$324,MATCH('OPEB Amounts_Report'!A267,'Change in Proportion Layers'!$A$8:$A$324,0))</f>
        <v>277469</v>
      </c>
      <c r="H267" s="122">
        <f t="shared" ref="H267:H324" si="13">SUM(D267:G267)</f>
        <v>579558</v>
      </c>
      <c r="I267" s="122"/>
      <c r="J267" s="122">
        <f>ROUND(VLOOKUP(A267,'Contribution Allocation_Report'!$A$9:$D$311,4,FALSE)*'OPEB Amounts_Report'!$J$326,0)</f>
        <v>183660</v>
      </c>
      <c r="K267" s="122">
        <f>ROUND(VLOOKUP(A267,'Contribution Allocation_Report'!$A$9:$D$311,4,FALSE)*'OPEB Amounts_Report'!$K$326,0)</f>
        <v>918526</v>
      </c>
      <c r="L267" s="122">
        <f>INDEX('Change in Proportion Layers'!$AD$8:$AD$324,MATCH('OPEB Amounts_Report'!A267,'Change in Proportion Layers'!$A$8:$A$324,0))</f>
        <v>95784</v>
      </c>
      <c r="M267" s="122">
        <f t="shared" si="12"/>
        <v>1197970</v>
      </c>
      <c r="N267" s="123"/>
      <c r="O267" s="123">
        <f>ROUND(VLOOKUP(A267,'Contribution Allocation_Report'!$A$9:$D$311,4,FALSE)*'OPEB Amounts_Report'!$O$326,0)</f>
        <v>-260672</v>
      </c>
      <c r="P267" s="123">
        <f>INDEX('Change in Proportion Layers'!$AA$8:$AA$324,MATCH('OPEB Amounts_Report'!A267,'Change in Proportion Layers'!$A$8:$A$324,0))</f>
        <v>78749</v>
      </c>
      <c r="Q267" s="123">
        <f t="shared" ref="Q267:Q324" si="14">+O267+P267</f>
        <v>-181923</v>
      </c>
    </row>
    <row r="268" spans="1:17" ht="12" customHeight="1">
      <c r="A268" s="164">
        <v>2413</v>
      </c>
      <c r="B268" s="168" t="s">
        <v>253</v>
      </c>
      <c r="C268" s="120">
        <f>ROUND(VLOOKUP(A268,'Contribution Allocation_Report'!$A$9:$D$311,4,FALSE)*'OPEB Amounts_Report'!$C$326,0)</f>
        <v>268512</v>
      </c>
      <c r="D268" s="120">
        <f>ROUND(VLOOKUP(A268,'Contribution Allocation_Report'!$A$9:$D$311,4,FALSE)*'OPEB Amounts_Report'!$D$326,0)</f>
        <v>4466</v>
      </c>
      <c r="E268" s="120">
        <f>ROUND(VLOOKUP(A268,'Contribution Allocation_Report'!$A$9:$D$311,4,FALSE)*'OPEB Amounts_Report'!$E$326,0)</f>
        <v>3703</v>
      </c>
      <c r="F268" s="120">
        <f>ROUND(VLOOKUP(A268,'Contribution Allocation_Report'!$A$9:$D$311,4,FALSE)*'OPEB Amounts_Report'!$F$326,0)</f>
        <v>57294</v>
      </c>
      <c r="G268" s="120">
        <f>INDEX('Change in Proportion Layers'!$AC$8:$AC$324,MATCH('OPEB Amounts_Report'!A268,'Change in Proportion Layers'!$A$8:$A$324,0))</f>
        <v>0</v>
      </c>
      <c r="H268" s="120">
        <f t="shared" si="13"/>
        <v>65463</v>
      </c>
      <c r="I268" s="120"/>
      <c r="J268" s="120">
        <f>ROUND(VLOOKUP(A268,'Contribution Allocation_Report'!$A$9:$D$311,4,FALSE)*'OPEB Amounts_Report'!$J$326,0)</f>
        <v>39799</v>
      </c>
      <c r="K268" s="120">
        <f>ROUND(VLOOKUP(A268,'Contribution Allocation_Report'!$A$9:$D$311,4,FALSE)*'OPEB Amounts_Report'!$K$326,0)</f>
        <v>199045</v>
      </c>
      <c r="L268" s="130">
        <f>INDEX('Change in Proportion Layers'!$AD$8:$AD$324,MATCH('OPEB Amounts_Report'!A268,'Change in Proportion Layers'!$A$8:$A$324,0))</f>
        <v>244953</v>
      </c>
      <c r="M268" s="120">
        <f t="shared" si="12"/>
        <v>483797</v>
      </c>
      <c r="N268" s="121"/>
      <c r="O268" s="121">
        <f>ROUND(VLOOKUP(A268,'Contribution Allocation_Report'!$A$9:$D$311,4,FALSE)*'OPEB Amounts_Report'!$O$326,0)</f>
        <v>-56488</v>
      </c>
      <c r="P268" s="121">
        <f>INDEX('Change in Proportion Layers'!$AA$8:$AA$324,MATCH('OPEB Amounts_Report'!A268,'Change in Proportion Layers'!$A$8:$A$324,0))</f>
        <v>-95214</v>
      </c>
      <c r="Q268" s="121">
        <f t="shared" si="14"/>
        <v>-151702</v>
      </c>
    </row>
    <row r="269" spans="1:17" ht="12" customHeight="1">
      <c r="A269" s="166">
        <v>1398</v>
      </c>
      <c r="B269" s="167" t="s">
        <v>254</v>
      </c>
      <c r="C269" s="122">
        <f>ROUND(VLOOKUP(A269,'Contribution Allocation_Report'!$A$9:$D$311,4,FALSE)*'OPEB Amounts_Report'!$C$326,0)</f>
        <v>501048</v>
      </c>
      <c r="D269" s="122">
        <f>ROUND(VLOOKUP(A269,'Contribution Allocation_Report'!$A$9:$D$311,4,FALSE)*'OPEB Amounts_Report'!$D$326,0)</f>
        <v>8334</v>
      </c>
      <c r="E269" s="122">
        <f>ROUND(VLOOKUP(A269,'Contribution Allocation_Report'!$A$9:$D$311,4,FALSE)*'OPEB Amounts_Report'!$E$326,0)</f>
        <v>6909</v>
      </c>
      <c r="F269" s="122">
        <f>ROUND(VLOOKUP(A269,'Contribution Allocation_Report'!$A$9:$D$311,4,FALSE)*'OPEB Amounts_Report'!$F$326,0)</f>
        <v>106912</v>
      </c>
      <c r="G269" s="131">
        <f>INDEX('Change in Proportion Layers'!$AC$8:$AC$324,MATCH('OPEB Amounts_Report'!A269,'Change in Proportion Layers'!$A$8:$A$324,0))</f>
        <v>77524</v>
      </c>
      <c r="H269" s="122">
        <f t="shared" si="13"/>
        <v>199679</v>
      </c>
      <c r="I269" s="122"/>
      <c r="J269" s="122">
        <f>ROUND(VLOOKUP(A269,'Contribution Allocation_Report'!$A$9:$D$311,4,FALSE)*'OPEB Amounts_Report'!$J$326,0)</f>
        <v>74266</v>
      </c>
      <c r="K269" s="122">
        <f>ROUND(VLOOKUP(A269,'Contribution Allocation_Report'!$A$9:$D$311,4,FALSE)*'OPEB Amounts_Report'!$K$326,0)</f>
        <v>371422</v>
      </c>
      <c r="L269" s="122">
        <f>INDEX('Change in Proportion Layers'!$AD$8:$AD$324,MATCH('OPEB Amounts_Report'!A269,'Change in Proportion Layers'!$A$8:$A$324,0))</f>
        <v>186357</v>
      </c>
      <c r="M269" s="122">
        <f t="shared" si="12"/>
        <v>632045</v>
      </c>
      <c r="N269" s="123"/>
      <c r="O269" s="123">
        <f>ROUND(VLOOKUP(A269,'Contribution Allocation_Report'!$A$9:$D$311,4,FALSE)*'OPEB Amounts_Report'!$O$326,0)</f>
        <v>-105407</v>
      </c>
      <c r="P269" s="123">
        <f>INDEX('Change in Proportion Layers'!$AA$8:$AA$324,MATCH('OPEB Amounts_Report'!A269,'Change in Proportion Layers'!$A$8:$A$324,0))</f>
        <v>-962</v>
      </c>
      <c r="Q269" s="123">
        <f t="shared" si="14"/>
        <v>-106369</v>
      </c>
    </row>
    <row r="270" spans="1:17" ht="12" customHeight="1">
      <c r="A270" s="164">
        <v>2366</v>
      </c>
      <c r="B270" s="168" t="s">
        <v>255</v>
      </c>
      <c r="C270" s="120">
        <f>ROUND(VLOOKUP(A270,'Contribution Allocation_Report'!$A$9:$D$311,4,FALSE)*'OPEB Amounts_Report'!$C$326,0)</f>
        <v>540028</v>
      </c>
      <c r="D270" s="120">
        <f>ROUND(VLOOKUP(A270,'Contribution Allocation_Report'!$A$9:$D$311,4,FALSE)*'OPEB Amounts_Report'!$D$326,0)</f>
        <v>8982</v>
      </c>
      <c r="E270" s="120">
        <f>ROUND(VLOOKUP(A270,'Contribution Allocation_Report'!$A$9:$D$311,4,FALSE)*'OPEB Amounts_Report'!$E$326,0)</f>
        <v>7446</v>
      </c>
      <c r="F270" s="120">
        <f>ROUND(VLOOKUP(A270,'Contribution Allocation_Report'!$A$9:$D$311,4,FALSE)*'OPEB Amounts_Report'!$F$326,0)</f>
        <v>115229</v>
      </c>
      <c r="G270" s="120">
        <f>INDEX('Change in Proportion Layers'!$AC$8:$AC$324,MATCH('OPEB Amounts_Report'!A270,'Change in Proportion Layers'!$A$8:$A$324,0))</f>
        <v>26432</v>
      </c>
      <c r="H270" s="120">
        <f t="shared" si="13"/>
        <v>158089</v>
      </c>
      <c r="I270" s="120"/>
      <c r="J270" s="120">
        <f>ROUND(VLOOKUP(A270,'Contribution Allocation_Report'!$A$9:$D$311,4,FALSE)*'OPEB Amounts_Report'!$J$326,0)</f>
        <v>80044</v>
      </c>
      <c r="K270" s="120">
        <f>ROUND(VLOOKUP(A270,'Contribution Allocation_Report'!$A$9:$D$311,4,FALSE)*'OPEB Amounts_Report'!$K$326,0)</f>
        <v>400317</v>
      </c>
      <c r="L270" s="130">
        <f>INDEX('Change in Proportion Layers'!$AD$8:$AD$324,MATCH('OPEB Amounts_Report'!A270,'Change in Proportion Layers'!$A$8:$A$324,0))</f>
        <v>217797</v>
      </c>
      <c r="M270" s="120">
        <f t="shared" si="12"/>
        <v>698158</v>
      </c>
      <c r="N270" s="121"/>
      <c r="O270" s="121">
        <f>ROUND(VLOOKUP(A270,'Contribution Allocation_Report'!$A$9:$D$311,4,FALSE)*'OPEB Amounts_Report'!$O$326,0)</f>
        <v>-113608</v>
      </c>
      <c r="P270" s="121">
        <f>INDEX('Change in Proportion Layers'!$AA$8:$AA$324,MATCH('OPEB Amounts_Report'!A270,'Change in Proportion Layers'!$A$8:$A$324,0))</f>
        <v>-62248</v>
      </c>
      <c r="Q270" s="121">
        <f t="shared" si="14"/>
        <v>-175856</v>
      </c>
    </row>
    <row r="271" spans="1:17" ht="12" customHeight="1">
      <c r="A271" s="166">
        <v>7421</v>
      </c>
      <c r="B271" s="167" t="s">
        <v>256</v>
      </c>
      <c r="C271" s="122">
        <f>ROUND(VLOOKUP(A271,'Contribution Allocation_Report'!$A$9:$D$311,4,FALSE)*'OPEB Amounts_Report'!$C$326,0)</f>
        <v>543646</v>
      </c>
      <c r="D271" s="122">
        <f>ROUND(VLOOKUP(A271,'Contribution Allocation_Report'!$A$9:$D$311,4,FALSE)*'OPEB Amounts_Report'!$D$326,0)</f>
        <v>9042</v>
      </c>
      <c r="E271" s="122">
        <f>ROUND(VLOOKUP(A271,'Contribution Allocation_Report'!$A$9:$D$311,4,FALSE)*'OPEB Amounts_Report'!$E$326,0)</f>
        <v>7496</v>
      </c>
      <c r="F271" s="122">
        <f>ROUND(VLOOKUP(A271,'Contribution Allocation_Report'!$A$9:$D$311,4,FALSE)*'OPEB Amounts_Report'!$F$326,0)</f>
        <v>116001</v>
      </c>
      <c r="G271" s="131">
        <f>INDEX('Change in Proportion Layers'!$AC$8:$AC$324,MATCH('OPEB Amounts_Report'!A271,'Change in Proportion Layers'!$A$8:$A$324,0))</f>
        <v>132567</v>
      </c>
      <c r="H271" s="122">
        <f t="shared" si="13"/>
        <v>265106</v>
      </c>
      <c r="I271" s="122"/>
      <c r="J271" s="122">
        <f>ROUND(VLOOKUP(A271,'Contribution Allocation_Report'!$A$9:$D$311,4,FALSE)*'OPEB Amounts_Report'!$J$326,0)</f>
        <v>80580</v>
      </c>
      <c r="K271" s="122">
        <f>ROUND(VLOOKUP(A271,'Contribution Allocation_Report'!$A$9:$D$311,4,FALSE)*'OPEB Amounts_Report'!$K$326,0)</f>
        <v>402999</v>
      </c>
      <c r="L271" s="122">
        <f>INDEX('Change in Proportion Layers'!$AD$8:$AD$324,MATCH('OPEB Amounts_Report'!A271,'Change in Proportion Layers'!$A$8:$A$324,0))</f>
        <v>175789</v>
      </c>
      <c r="M271" s="122">
        <f t="shared" si="12"/>
        <v>659368</v>
      </c>
      <c r="N271" s="123"/>
      <c r="O271" s="123">
        <f>ROUND(VLOOKUP(A271,'Contribution Allocation_Report'!$A$9:$D$311,4,FALSE)*'OPEB Amounts_Report'!$O$326,0)</f>
        <v>-114369</v>
      </c>
      <c r="P271" s="123">
        <f>INDEX('Change in Proportion Layers'!$AA$8:$AA$324,MATCH('OPEB Amounts_Report'!A271,'Change in Proportion Layers'!$A$8:$A$324,0))</f>
        <v>-44695</v>
      </c>
      <c r="Q271" s="123">
        <f t="shared" si="14"/>
        <v>-159064</v>
      </c>
    </row>
    <row r="272" spans="1:17" ht="12" customHeight="1">
      <c r="A272" s="164">
        <v>1425</v>
      </c>
      <c r="B272" s="168" t="s">
        <v>534</v>
      </c>
      <c r="C272" s="120">
        <f>ROUND(VLOOKUP(A272,'Contribution Allocation_Report'!$A$9:$D$311,4,FALSE)*'OPEB Amounts_Report'!$C$326,0)</f>
        <v>27648</v>
      </c>
      <c r="D272" s="120">
        <f>ROUND(VLOOKUP(A272,'Contribution Allocation_Report'!$A$9:$D$311,4,FALSE)*'OPEB Amounts_Report'!$D$326,0)</f>
        <v>460</v>
      </c>
      <c r="E272" s="120">
        <f>ROUND(VLOOKUP(A272,'Contribution Allocation_Report'!$A$9:$D$311,4,FALSE)*'OPEB Amounts_Report'!$E$326,0)</f>
        <v>381</v>
      </c>
      <c r="F272" s="120">
        <f>ROUND(VLOOKUP(A272,'Contribution Allocation_Report'!$A$9:$D$311,4,FALSE)*'OPEB Amounts_Report'!$F$326,0)</f>
        <v>5899</v>
      </c>
      <c r="G272" s="120">
        <f>INDEX('Change in Proportion Layers'!$AC$8:$AC$324,MATCH('OPEB Amounts_Report'!A272,'Change in Proportion Layers'!$A$8:$A$324,0))</f>
        <v>43612</v>
      </c>
      <c r="H272" s="120">
        <f t="shared" si="13"/>
        <v>50352</v>
      </c>
      <c r="I272" s="120"/>
      <c r="J272" s="120">
        <f>ROUND(VLOOKUP(A272,'Contribution Allocation_Report'!$A$9:$D$311,4,FALSE)*'OPEB Amounts_Report'!$J$326,0)</f>
        <v>4098</v>
      </c>
      <c r="K272" s="120">
        <f>ROUND(VLOOKUP(A272,'Contribution Allocation_Report'!$A$9:$D$311,4,FALSE)*'OPEB Amounts_Report'!$K$326,0)</f>
        <v>20495</v>
      </c>
      <c r="L272" s="120">
        <f>INDEX('Change in Proportion Layers'!$AD$8:$AD$324,MATCH('OPEB Amounts_Report'!A272,'Change in Proportion Layers'!$A$8:$A$324,0))</f>
        <v>0</v>
      </c>
      <c r="M272" s="120">
        <f t="shared" si="12"/>
        <v>24593</v>
      </c>
      <c r="N272" s="121"/>
      <c r="O272" s="121">
        <f>ROUND(VLOOKUP(A272,'Contribution Allocation_Report'!$A$9:$D$311,4,FALSE)*'OPEB Amounts_Report'!$O$326,0)</f>
        <v>-5816</v>
      </c>
      <c r="P272" s="121">
        <f>INDEX('Change in Proportion Layers'!$AA$8:$AA$324,MATCH('OPEB Amounts_Report'!A272,'Change in Proportion Layers'!$A$8:$A$324,0))</f>
        <v>8919</v>
      </c>
      <c r="Q272" s="121">
        <f t="shared" si="14"/>
        <v>3103</v>
      </c>
    </row>
    <row r="273" spans="1:17" ht="12" customHeight="1">
      <c r="A273" s="166">
        <v>2370</v>
      </c>
      <c r="B273" s="167" t="s">
        <v>257</v>
      </c>
      <c r="C273" s="122">
        <f>ROUND(VLOOKUP(A273,'Contribution Allocation_Report'!$A$9:$D$311,4,FALSE)*'OPEB Amounts_Report'!$C$326,0)</f>
        <v>821557</v>
      </c>
      <c r="D273" s="122">
        <f>ROUND(VLOOKUP(A273,'Contribution Allocation_Report'!$A$9:$D$311,4,FALSE)*'OPEB Amounts_Report'!$D$326,0)</f>
        <v>13665</v>
      </c>
      <c r="E273" s="122">
        <f>ROUND(VLOOKUP(A273,'Contribution Allocation_Report'!$A$9:$D$311,4,FALSE)*'OPEB Amounts_Report'!$E$326,0)</f>
        <v>11328</v>
      </c>
      <c r="F273" s="122">
        <f>ROUND(VLOOKUP(A273,'Contribution Allocation_Report'!$A$9:$D$311,4,FALSE)*'OPEB Amounts_Report'!$F$326,0)</f>
        <v>175301</v>
      </c>
      <c r="G273" s="122">
        <f>INDEX('Change in Proportion Layers'!$AC$8:$AC$324,MATCH('OPEB Amounts_Report'!A273,'Change in Proportion Layers'!$A$8:$A$324,0))</f>
        <v>136226</v>
      </c>
      <c r="H273" s="122">
        <f t="shared" si="13"/>
        <v>336520</v>
      </c>
      <c r="I273" s="122"/>
      <c r="J273" s="122">
        <f>ROUND(VLOOKUP(A273,'Contribution Allocation_Report'!$A$9:$D$311,4,FALSE)*'OPEB Amounts_Report'!$J$326,0)</f>
        <v>121772</v>
      </c>
      <c r="K273" s="122">
        <f>ROUND(VLOOKUP(A273,'Contribution Allocation_Report'!$A$9:$D$311,4,FALSE)*'OPEB Amounts_Report'!$K$326,0)</f>
        <v>609011</v>
      </c>
      <c r="L273" s="122">
        <f>INDEX('Change in Proportion Layers'!$AD$8:$AD$324,MATCH('OPEB Amounts_Report'!A273,'Change in Proportion Layers'!$A$8:$A$324,0))</f>
        <v>195443</v>
      </c>
      <c r="M273" s="122">
        <f t="shared" si="12"/>
        <v>926226</v>
      </c>
      <c r="N273" s="123"/>
      <c r="O273" s="123">
        <f>ROUND(VLOOKUP(A273,'Contribution Allocation_Report'!$A$9:$D$311,4,FALSE)*'OPEB Amounts_Report'!$O$326,0)</f>
        <v>-172834</v>
      </c>
      <c r="P273" s="123">
        <f>INDEX('Change in Proportion Layers'!$AA$8:$AA$324,MATCH('OPEB Amounts_Report'!A273,'Change in Proportion Layers'!$A$8:$A$324,0))</f>
        <v>-25141</v>
      </c>
      <c r="Q273" s="123">
        <f t="shared" si="14"/>
        <v>-197975</v>
      </c>
    </row>
    <row r="274" spans="1:17" ht="12" customHeight="1">
      <c r="A274" s="164">
        <v>32094</v>
      </c>
      <c r="B274" s="168" t="s">
        <v>258</v>
      </c>
      <c r="C274" s="120">
        <f>ROUND(VLOOKUP(A274,'Contribution Allocation_Report'!$A$9:$D$311,4,FALSE)*'OPEB Amounts_Report'!$C$326,0)</f>
        <v>970194</v>
      </c>
      <c r="D274" s="120">
        <f>ROUND(VLOOKUP(A274,'Contribution Allocation_Report'!$A$9:$D$311,4,FALSE)*'OPEB Amounts_Report'!$D$326,0)</f>
        <v>16137</v>
      </c>
      <c r="E274" s="120">
        <f>ROUND(VLOOKUP(A274,'Contribution Allocation_Report'!$A$9:$D$311,4,FALSE)*'OPEB Amounts_Report'!$E$326,0)</f>
        <v>13378</v>
      </c>
      <c r="F274" s="120">
        <f>ROUND(VLOOKUP(A274,'Contribution Allocation_Report'!$A$9:$D$311,4,FALSE)*'OPEB Amounts_Report'!$F$326,0)</f>
        <v>207016</v>
      </c>
      <c r="G274" s="120">
        <f>INDEX('Change in Proportion Layers'!$AC$8:$AC$324,MATCH('OPEB Amounts_Report'!A274,'Change in Proportion Layers'!$A$8:$A$324,0))</f>
        <v>105387</v>
      </c>
      <c r="H274" s="120">
        <f t="shared" si="13"/>
        <v>341918</v>
      </c>
      <c r="I274" s="120"/>
      <c r="J274" s="120">
        <f>ROUND(VLOOKUP(A274,'Contribution Allocation_Report'!$A$9:$D$311,4,FALSE)*'OPEB Amounts_Report'!$J$326,0)</f>
        <v>143803</v>
      </c>
      <c r="K274" s="120">
        <f>ROUND(VLOOKUP(A274,'Contribution Allocation_Report'!$A$9:$D$311,4,FALSE)*'OPEB Amounts_Report'!$K$326,0)</f>
        <v>719194</v>
      </c>
      <c r="L274" s="120">
        <f>INDEX('Change in Proportion Layers'!$AD$8:$AD$324,MATCH('OPEB Amounts_Report'!A274,'Change in Proportion Layers'!$A$8:$A$324,0))</f>
        <v>24501</v>
      </c>
      <c r="M274" s="120">
        <f t="shared" si="12"/>
        <v>887498</v>
      </c>
      <c r="N274" s="121"/>
      <c r="O274" s="121">
        <f>ROUND(VLOOKUP(A274,'Contribution Allocation_Report'!$A$9:$D$311,4,FALSE)*'OPEB Amounts_Report'!$O$326,0)</f>
        <v>-204103</v>
      </c>
      <c r="P274" s="121">
        <f>INDEX('Change in Proportion Layers'!$AA$8:$AA$324,MATCH('OPEB Amounts_Report'!A274,'Change in Proportion Layers'!$A$8:$A$324,0))</f>
        <v>-101</v>
      </c>
      <c r="Q274" s="121">
        <f t="shared" si="14"/>
        <v>-204204</v>
      </c>
    </row>
    <row r="275" spans="1:17" ht="12" customHeight="1">
      <c r="A275" s="166">
        <v>2790</v>
      </c>
      <c r="B275" s="167" t="s">
        <v>259</v>
      </c>
      <c r="C275" s="122">
        <f>ROUND(VLOOKUP(A275,'Contribution Allocation_Report'!$A$9:$D$311,4,FALSE)*'OPEB Amounts_Report'!$C$326,0)</f>
        <v>103423</v>
      </c>
      <c r="D275" s="122">
        <f>ROUND(VLOOKUP(A275,'Contribution Allocation_Report'!$A$9:$D$311,4,FALSE)*'OPEB Amounts_Report'!$D$326,0)</f>
        <v>1720</v>
      </c>
      <c r="E275" s="122">
        <f>ROUND(VLOOKUP(A275,'Contribution Allocation_Report'!$A$9:$D$311,4,FALSE)*'OPEB Amounts_Report'!$E$326,0)</f>
        <v>1426</v>
      </c>
      <c r="F275" s="122">
        <f>ROUND(VLOOKUP(A275,'Contribution Allocation_Report'!$A$9:$D$311,4,FALSE)*'OPEB Amounts_Report'!$F$326,0)</f>
        <v>22068</v>
      </c>
      <c r="G275" s="122">
        <f>INDEX('Change in Proportion Layers'!$AC$8:$AC$324,MATCH('OPEB Amounts_Report'!A275,'Change in Proportion Layers'!$A$8:$A$324,0))</f>
        <v>34311</v>
      </c>
      <c r="H275" s="122">
        <f t="shared" si="13"/>
        <v>59525</v>
      </c>
      <c r="I275" s="122"/>
      <c r="J275" s="122">
        <f>ROUND(VLOOKUP(A275,'Contribution Allocation_Report'!$A$9:$D$311,4,FALSE)*'OPEB Amounts_Report'!$J$326,0)</f>
        <v>15329</v>
      </c>
      <c r="K275" s="122">
        <f>ROUND(VLOOKUP(A275,'Contribution Allocation_Report'!$A$9:$D$311,4,FALSE)*'OPEB Amounts_Report'!$K$326,0)</f>
        <v>76666</v>
      </c>
      <c r="L275" s="122">
        <f>INDEX('Change in Proportion Layers'!$AD$8:$AD$324,MATCH('OPEB Amounts_Report'!A275,'Change in Proportion Layers'!$A$8:$A$324,0))</f>
        <v>43036</v>
      </c>
      <c r="M275" s="122">
        <f t="shared" si="12"/>
        <v>135031</v>
      </c>
      <c r="N275" s="123"/>
      <c r="O275" s="123">
        <f>ROUND(VLOOKUP(A275,'Contribution Allocation_Report'!$A$9:$D$311,4,FALSE)*'OPEB Amounts_Report'!$O$326,0)</f>
        <v>-21757</v>
      </c>
      <c r="P275" s="123">
        <f>INDEX('Change in Proportion Layers'!$AA$8:$AA$324,MATCH('OPEB Amounts_Report'!A275,'Change in Proportion Layers'!$A$8:$A$324,0))</f>
        <v>-8066</v>
      </c>
      <c r="Q275" s="123">
        <f t="shared" si="14"/>
        <v>-29823</v>
      </c>
    </row>
    <row r="276" spans="1:17" ht="12" customHeight="1">
      <c r="A276" s="164">
        <v>3330</v>
      </c>
      <c r="B276" s="168" t="s">
        <v>260</v>
      </c>
      <c r="C276" s="120">
        <f>ROUND(VLOOKUP(A276,'Contribution Allocation_Report'!$A$9:$D$311,4,FALSE)*'OPEB Amounts_Report'!$C$326,0)</f>
        <v>2138382</v>
      </c>
      <c r="D276" s="120">
        <f>ROUND(VLOOKUP(A276,'Contribution Allocation_Report'!$A$9:$D$311,4,FALSE)*'OPEB Amounts_Report'!$D$326,0)</f>
        <v>35568</v>
      </c>
      <c r="E276" s="120">
        <f>ROUND(VLOOKUP(A276,'Contribution Allocation_Report'!$A$9:$D$311,4,FALSE)*'OPEB Amounts_Report'!$E$326,0)</f>
        <v>29486</v>
      </c>
      <c r="F276" s="120">
        <f>ROUND(VLOOKUP(A276,'Contribution Allocation_Report'!$A$9:$D$311,4,FALSE)*'OPEB Amounts_Report'!$F$326,0)</f>
        <v>456280</v>
      </c>
      <c r="G276" s="120">
        <f>INDEX('Change in Proportion Layers'!$AC$8:$AC$324,MATCH('OPEB Amounts_Report'!A276,'Change in Proportion Layers'!$A$8:$A$324,0))</f>
        <v>309955</v>
      </c>
      <c r="H276" s="120">
        <f t="shared" si="13"/>
        <v>831289</v>
      </c>
      <c r="I276" s="120"/>
      <c r="J276" s="120">
        <f>ROUND(VLOOKUP(A276,'Contribution Allocation_Report'!$A$9:$D$311,4,FALSE)*'OPEB Amounts_Report'!$J$326,0)</f>
        <v>316954</v>
      </c>
      <c r="K276" s="120">
        <f>ROUND(VLOOKUP(A276,'Contribution Allocation_Report'!$A$9:$D$311,4,FALSE)*'OPEB Amounts_Report'!$K$326,0)</f>
        <v>1585158</v>
      </c>
      <c r="L276" s="120">
        <f>INDEX('Change in Proportion Layers'!$AD$8:$AD$324,MATCH('OPEB Amounts_Report'!A276,'Change in Proportion Layers'!$A$8:$A$324,0))</f>
        <v>19117</v>
      </c>
      <c r="M276" s="120">
        <f t="shared" si="12"/>
        <v>1921229</v>
      </c>
      <c r="N276" s="121"/>
      <c r="O276" s="121">
        <f>ROUND(VLOOKUP(A276,'Contribution Allocation_Report'!$A$9:$D$311,4,FALSE)*'OPEB Amounts_Report'!$O$326,0)</f>
        <v>-449859</v>
      </c>
      <c r="P276" s="121">
        <f>INDEX('Change in Proportion Layers'!$AA$8:$AA$324,MATCH('OPEB Amounts_Report'!A276,'Change in Proportion Layers'!$A$8:$A$324,0))</f>
        <v>67168</v>
      </c>
      <c r="Q276" s="121">
        <f t="shared" si="14"/>
        <v>-382691</v>
      </c>
    </row>
    <row r="277" spans="1:17" ht="12" customHeight="1">
      <c r="A277" s="166">
        <v>2080</v>
      </c>
      <c r="B277" s="167" t="s">
        <v>261</v>
      </c>
      <c r="C277" s="122">
        <f>ROUND(VLOOKUP(A277,'Contribution Allocation_Report'!$A$9:$D$311,4,FALSE)*'OPEB Amounts_Report'!$C$326,0)</f>
        <v>2373603</v>
      </c>
      <c r="D277" s="122">
        <f>ROUND(VLOOKUP(A277,'Contribution Allocation_Report'!$A$9:$D$311,4,FALSE)*'OPEB Amounts_Report'!$D$326,0)</f>
        <v>39480</v>
      </c>
      <c r="E277" s="122">
        <f>ROUND(VLOOKUP(A277,'Contribution Allocation_Report'!$A$9:$D$311,4,FALSE)*'OPEB Amounts_Report'!$E$326,0)</f>
        <v>32730</v>
      </c>
      <c r="F277" s="122">
        <f>ROUND(VLOOKUP(A277,'Contribution Allocation_Report'!$A$9:$D$311,4,FALSE)*'OPEB Amounts_Report'!$F$326,0)</f>
        <v>506471</v>
      </c>
      <c r="G277" s="122">
        <f>INDEX('Change in Proportion Layers'!$AC$8:$AC$324,MATCH('OPEB Amounts_Report'!A277,'Change in Proportion Layers'!$A$8:$A$324,0))</f>
        <v>215593</v>
      </c>
      <c r="H277" s="122">
        <f t="shared" si="13"/>
        <v>794274</v>
      </c>
      <c r="I277" s="122"/>
      <c r="J277" s="122">
        <f>ROUND(VLOOKUP(A277,'Contribution Allocation_Report'!$A$9:$D$311,4,FALSE)*'OPEB Amounts_Report'!$J$326,0)</f>
        <v>351818</v>
      </c>
      <c r="K277" s="122">
        <f>ROUND(VLOOKUP(A277,'Contribution Allocation_Report'!$A$9:$D$311,4,FALSE)*'OPEB Amounts_Report'!$K$326,0)</f>
        <v>1759525</v>
      </c>
      <c r="L277" s="131">
        <f>INDEX('Change in Proportion Layers'!$AD$8:$AD$324,MATCH('OPEB Amounts_Report'!A277,'Change in Proportion Layers'!$A$8:$A$324,0))</f>
        <v>188065</v>
      </c>
      <c r="M277" s="122">
        <f t="shared" si="12"/>
        <v>2299408</v>
      </c>
      <c r="N277" s="123"/>
      <c r="O277" s="123">
        <f>ROUND(VLOOKUP(A277,'Contribution Allocation_Report'!$A$9:$D$311,4,FALSE)*'OPEB Amounts_Report'!$O$326,0)</f>
        <v>-499343</v>
      </c>
      <c r="P277" s="123">
        <f>INDEX('Change in Proportion Layers'!$AA$8:$AA$324,MATCH('OPEB Amounts_Report'!A277,'Change in Proportion Layers'!$A$8:$A$324,0))</f>
        <v>76174</v>
      </c>
      <c r="Q277" s="123">
        <f t="shared" si="14"/>
        <v>-423169</v>
      </c>
    </row>
    <row r="278" spans="1:17" ht="12" customHeight="1">
      <c r="A278" s="164">
        <v>4290</v>
      </c>
      <c r="B278" s="168" t="s">
        <v>262</v>
      </c>
      <c r="C278" s="120">
        <f>ROUND(VLOOKUP(A278,'Contribution Allocation_Report'!$A$9:$D$311,4,FALSE)*'OPEB Amounts_Report'!$C$326,0)</f>
        <v>790723</v>
      </c>
      <c r="D278" s="120">
        <f>ROUND(VLOOKUP(A278,'Contribution Allocation_Report'!$A$9:$D$311,4,FALSE)*'OPEB Amounts_Report'!$D$326,0)</f>
        <v>13152</v>
      </c>
      <c r="E278" s="120">
        <f>ROUND(VLOOKUP(A278,'Contribution Allocation_Report'!$A$9:$D$311,4,FALSE)*'OPEB Amounts_Report'!$E$326,0)</f>
        <v>10903</v>
      </c>
      <c r="F278" s="120">
        <f>ROUND(VLOOKUP(A278,'Contribution Allocation_Report'!$A$9:$D$311,4,FALSE)*'OPEB Amounts_Report'!$F$326,0)</f>
        <v>168722</v>
      </c>
      <c r="G278" s="120">
        <f>INDEX('Change in Proportion Layers'!$AC$8:$AC$324,MATCH('OPEB Amounts_Report'!A278,'Change in Proportion Layers'!$A$8:$A$324,0))</f>
        <v>88400</v>
      </c>
      <c r="H278" s="120">
        <f t="shared" si="13"/>
        <v>281177</v>
      </c>
      <c r="I278" s="120"/>
      <c r="J278" s="120">
        <f>ROUND(VLOOKUP(A278,'Contribution Allocation_Report'!$A$9:$D$311,4,FALSE)*'OPEB Amounts_Report'!$J$326,0)</f>
        <v>117202</v>
      </c>
      <c r="K278" s="120">
        <f>ROUND(VLOOKUP(A278,'Contribution Allocation_Report'!$A$9:$D$311,4,FALSE)*'OPEB Amounts_Report'!$K$326,0)</f>
        <v>586154</v>
      </c>
      <c r="L278" s="130">
        <f>INDEX('Change in Proportion Layers'!$AD$8:$AD$324,MATCH('OPEB Amounts_Report'!A278,'Change in Proportion Layers'!$A$8:$A$324,0))</f>
        <v>7677</v>
      </c>
      <c r="M278" s="120">
        <f t="shared" si="12"/>
        <v>711033</v>
      </c>
      <c r="N278" s="121"/>
      <c r="O278" s="121">
        <f>ROUND(VLOOKUP(A278,'Contribution Allocation_Report'!$A$9:$D$311,4,FALSE)*'OPEB Amounts_Report'!$O$326,0)</f>
        <v>-166347</v>
      </c>
      <c r="P278" s="121">
        <f>INDEX('Change in Proportion Layers'!$AA$8:$AA$324,MATCH('OPEB Amounts_Report'!A278,'Change in Proportion Layers'!$A$8:$A$324,0))</f>
        <v>66592</v>
      </c>
      <c r="Q278" s="121">
        <f t="shared" si="14"/>
        <v>-99755</v>
      </c>
    </row>
    <row r="279" spans="1:17" ht="12" customHeight="1">
      <c r="A279" s="166">
        <v>2270</v>
      </c>
      <c r="B279" s="167" t="s">
        <v>263</v>
      </c>
      <c r="C279" s="122">
        <f>ROUND(VLOOKUP(A279,'Contribution Allocation_Report'!$A$9:$D$311,4,FALSE)*'OPEB Amounts_Report'!$C$326,0)</f>
        <v>38821</v>
      </c>
      <c r="D279" s="122">
        <f>ROUND(VLOOKUP(A279,'Contribution Allocation_Report'!$A$9:$D$311,4,FALSE)*'OPEB Amounts_Report'!$D$326,0)</f>
        <v>646</v>
      </c>
      <c r="E279" s="122">
        <f>ROUND(VLOOKUP(A279,'Contribution Allocation_Report'!$A$9:$D$311,4,FALSE)*'OPEB Amounts_Report'!$E$326,0)</f>
        <v>535</v>
      </c>
      <c r="F279" s="122">
        <f>ROUND(VLOOKUP(A279,'Contribution Allocation_Report'!$A$9:$D$311,4,FALSE)*'OPEB Amounts_Report'!$F$326,0)</f>
        <v>8283</v>
      </c>
      <c r="G279" s="122">
        <f>INDEX('Change in Proportion Layers'!$AC$8:$AC$324,MATCH('OPEB Amounts_Report'!A279,'Change in Proportion Layers'!$A$8:$A$324,0))</f>
        <v>4311</v>
      </c>
      <c r="H279" s="122">
        <f t="shared" si="13"/>
        <v>13775</v>
      </c>
      <c r="I279" s="122"/>
      <c r="J279" s="122">
        <f>ROUND(VLOOKUP(A279,'Contribution Allocation_Report'!$A$9:$D$311,4,FALSE)*'OPEB Amounts_Report'!$J$326,0)</f>
        <v>5754</v>
      </c>
      <c r="K279" s="122">
        <f>ROUND(VLOOKUP(A279,'Contribution Allocation_Report'!$A$9:$D$311,4,FALSE)*'OPEB Amounts_Report'!$K$326,0)</f>
        <v>28777</v>
      </c>
      <c r="L279" s="122">
        <f>INDEX('Change in Proportion Layers'!$AD$8:$AD$324,MATCH('OPEB Amounts_Report'!A279,'Change in Proportion Layers'!$A$8:$A$324,0))</f>
        <v>46823</v>
      </c>
      <c r="M279" s="122">
        <f t="shared" si="12"/>
        <v>81354</v>
      </c>
      <c r="N279" s="123"/>
      <c r="O279" s="123">
        <f>ROUND(VLOOKUP(A279,'Contribution Allocation_Report'!$A$9:$D$311,4,FALSE)*'OPEB Amounts_Report'!$O$326,0)</f>
        <v>-8167</v>
      </c>
      <c r="P279" s="123">
        <f>INDEX('Change in Proportion Layers'!$AA$8:$AA$324,MATCH('OPEB Amounts_Report'!A279,'Change in Proportion Layers'!$A$8:$A$324,0))</f>
        <v>-8435</v>
      </c>
      <c r="Q279" s="123">
        <f t="shared" si="14"/>
        <v>-16602</v>
      </c>
    </row>
    <row r="280" spans="1:17" ht="12" customHeight="1">
      <c r="A280" s="164">
        <v>2300</v>
      </c>
      <c r="B280" s="168" t="s">
        <v>264</v>
      </c>
      <c r="C280" s="120">
        <f>ROUND(VLOOKUP(A280,'Contribution Allocation_Report'!$A$9:$D$311,4,FALSE)*'OPEB Amounts_Report'!$C$326,0)</f>
        <v>227553</v>
      </c>
      <c r="D280" s="120">
        <f>ROUND(VLOOKUP(A280,'Contribution Allocation_Report'!$A$9:$D$311,4,FALSE)*'OPEB Amounts_Report'!$D$326,0)</f>
        <v>3785</v>
      </c>
      <c r="E280" s="120">
        <f>ROUND(VLOOKUP(A280,'Contribution Allocation_Report'!$A$9:$D$311,4,FALSE)*'OPEB Amounts_Report'!$E$326,0)</f>
        <v>3138</v>
      </c>
      <c r="F280" s="120">
        <f>ROUND(VLOOKUP(A280,'Contribution Allocation_Report'!$A$9:$D$311,4,FALSE)*'OPEB Amounts_Report'!$F$326,0)</f>
        <v>48554</v>
      </c>
      <c r="G280" s="120">
        <f>INDEX('Change in Proportion Layers'!$AC$8:$AC$324,MATCH('OPEB Amounts_Report'!A280,'Change in Proportion Layers'!$A$8:$A$324,0))</f>
        <v>30934</v>
      </c>
      <c r="H280" s="120">
        <f t="shared" si="13"/>
        <v>86411</v>
      </c>
      <c r="I280" s="120"/>
      <c r="J280" s="120">
        <f>ROUND(VLOOKUP(A280,'Contribution Allocation_Report'!$A$9:$D$311,4,FALSE)*'OPEB Amounts_Report'!$J$326,0)</f>
        <v>33728</v>
      </c>
      <c r="K280" s="120">
        <f>ROUND(VLOOKUP(A280,'Contribution Allocation_Report'!$A$9:$D$311,4,FALSE)*'OPEB Amounts_Report'!$K$326,0)</f>
        <v>168682</v>
      </c>
      <c r="L280" s="120">
        <f>INDEX('Change in Proportion Layers'!$AD$8:$AD$324,MATCH('OPEB Amounts_Report'!A280,'Change in Proportion Layers'!$A$8:$A$324,0))</f>
        <v>63191</v>
      </c>
      <c r="M280" s="120">
        <f t="shared" si="12"/>
        <v>265601</v>
      </c>
      <c r="N280" s="121"/>
      <c r="O280" s="121">
        <f>ROUND(VLOOKUP(A280,'Contribution Allocation_Report'!$A$9:$D$311,4,FALSE)*'OPEB Amounts_Report'!$O$326,0)</f>
        <v>-47871</v>
      </c>
      <c r="P280" s="121">
        <f>INDEX('Change in Proportion Layers'!$AA$8:$AA$324,MATCH('OPEB Amounts_Report'!A280,'Change in Proportion Layers'!$A$8:$A$324,0))</f>
        <v>-30155</v>
      </c>
      <c r="Q280" s="121">
        <f t="shared" si="14"/>
        <v>-78026</v>
      </c>
    </row>
    <row r="281" spans="1:17" ht="12" customHeight="1">
      <c r="A281" s="166">
        <v>2720</v>
      </c>
      <c r="B281" s="167" t="s">
        <v>265</v>
      </c>
      <c r="C281" s="122">
        <f>ROUND(VLOOKUP(A281,'Contribution Allocation_Report'!$A$9:$D$311,4,FALSE)*'OPEB Amounts_Report'!$C$326,0)</f>
        <v>3159275</v>
      </c>
      <c r="D281" s="122">
        <f>ROUND(VLOOKUP(A281,'Contribution Allocation_Report'!$A$9:$D$311,4,FALSE)*'OPEB Amounts_Report'!$D$326,0)</f>
        <v>52548</v>
      </c>
      <c r="E281" s="122">
        <f>ROUND(VLOOKUP(A281,'Contribution Allocation_Report'!$A$9:$D$311,4,FALSE)*'OPEB Amounts_Report'!$E$326,0)</f>
        <v>43563</v>
      </c>
      <c r="F281" s="122">
        <f>ROUND(VLOOKUP(A281,'Contribution Allocation_Report'!$A$9:$D$311,4,FALSE)*'OPEB Amounts_Report'!$F$326,0)</f>
        <v>674114</v>
      </c>
      <c r="G281" s="122">
        <f>INDEX('Change in Proportion Layers'!$AC$8:$AC$324,MATCH('OPEB Amounts_Report'!A281,'Change in Proportion Layers'!$A$8:$A$324,0))</f>
        <v>143097</v>
      </c>
      <c r="H281" s="122">
        <f t="shared" si="13"/>
        <v>913322</v>
      </c>
      <c r="I281" s="122"/>
      <c r="J281" s="122">
        <f>ROUND(VLOOKUP(A281,'Contribution Allocation_Report'!$A$9:$D$311,4,FALSE)*'OPEB Amounts_Report'!$J$326,0)</f>
        <v>468272</v>
      </c>
      <c r="K281" s="122">
        <f>ROUND(VLOOKUP(A281,'Contribution Allocation_Report'!$A$9:$D$311,4,FALSE)*'OPEB Amounts_Report'!$K$326,0)</f>
        <v>2341935</v>
      </c>
      <c r="L281" s="122">
        <f>INDEX('Change in Proportion Layers'!$AD$8:$AD$324,MATCH('OPEB Amounts_Report'!A281,'Change in Proportion Layers'!$A$8:$A$324,0))</f>
        <v>281218</v>
      </c>
      <c r="M281" s="122">
        <f t="shared" si="12"/>
        <v>3091425</v>
      </c>
      <c r="N281" s="123"/>
      <c r="O281" s="123">
        <f>ROUND(VLOOKUP(A281,'Contribution Allocation_Report'!$A$9:$D$311,4,FALSE)*'OPEB Amounts_Report'!$O$326,0)</f>
        <v>-664628</v>
      </c>
      <c r="P281" s="123">
        <f>INDEX('Change in Proportion Layers'!$AA$8:$AA$324,MATCH('OPEB Amounts_Report'!A281,'Change in Proportion Layers'!$A$8:$A$324,0))</f>
        <v>-53892</v>
      </c>
      <c r="Q281" s="123">
        <f t="shared" si="14"/>
        <v>-718520</v>
      </c>
    </row>
    <row r="282" spans="1:17" ht="12" customHeight="1">
      <c r="A282" s="164">
        <v>2750</v>
      </c>
      <c r="B282" s="168" t="s">
        <v>266</v>
      </c>
      <c r="C282" s="120">
        <f>ROUND(VLOOKUP(A282,'Contribution Allocation_Report'!$A$9:$D$311,4,FALSE)*'OPEB Amounts_Report'!$C$326,0)</f>
        <v>236837</v>
      </c>
      <c r="D282" s="120">
        <f>ROUND(VLOOKUP(A282,'Contribution Allocation_Report'!$A$9:$D$311,4,FALSE)*'OPEB Amounts_Report'!$D$326,0)</f>
        <v>3939</v>
      </c>
      <c r="E282" s="120">
        <f>ROUND(VLOOKUP(A282,'Contribution Allocation_Report'!$A$9:$D$311,4,FALSE)*'OPEB Amounts_Report'!$E$326,0)</f>
        <v>3266</v>
      </c>
      <c r="F282" s="120">
        <f>ROUND(VLOOKUP(A282,'Contribution Allocation_Report'!$A$9:$D$311,4,FALSE)*'OPEB Amounts_Report'!$F$326,0)</f>
        <v>50535</v>
      </c>
      <c r="G282" s="120">
        <f>INDEX('Change in Proportion Layers'!$AC$8:$AC$324,MATCH('OPEB Amounts_Report'!A282,'Change in Proportion Layers'!$A$8:$A$324,0))</f>
        <v>61163</v>
      </c>
      <c r="H282" s="120">
        <f t="shared" si="13"/>
        <v>118903</v>
      </c>
      <c r="I282" s="120"/>
      <c r="J282" s="120">
        <f>ROUND(VLOOKUP(A282,'Contribution Allocation_Report'!$A$9:$D$311,4,FALSE)*'OPEB Amounts_Report'!$J$326,0)</f>
        <v>35104</v>
      </c>
      <c r="K282" s="120">
        <f>ROUND(VLOOKUP(A282,'Contribution Allocation_Report'!$A$9:$D$311,4,FALSE)*'OPEB Amounts_Report'!$K$326,0)</f>
        <v>175565</v>
      </c>
      <c r="L282" s="120">
        <f>INDEX('Change in Proportion Layers'!$AD$8:$AD$324,MATCH('OPEB Amounts_Report'!A282,'Change in Proportion Layers'!$A$8:$A$324,0))</f>
        <v>37941</v>
      </c>
      <c r="M282" s="120">
        <f t="shared" si="12"/>
        <v>248610</v>
      </c>
      <c r="N282" s="121"/>
      <c r="O282" s="121">
        <f>ROUND(VLOOKUP(A282,'Contribution Allocation_Report'!$A$9:$D$311,4,FALSE)*'OPEB Amounts_Report'!$O$326,0)</f>
        <v>-49824</v>
      </c>
      <c r="P282" s="121">
        <f>INDEX('Change in Proportion Layers'!$AA$8:$AA$324,MATCH('OPEB Amounts_Report'!A282,'Change in Proportion Layers'!$A$8:$A$324,0))</f>
        <v>-506</v>
      </c>
      <c r="Q282" s="121">
        <f t="shared" si="14"/>
        <v>-50330</v>
      </c>
    </row>
    <row r="283" spans="1:17" ht="12" customHeight="1">
      <c r="A283" s="166">
        <v>2770</v>
      </c>
      <c r="B283" s="167" t="s">
        <v>267</v>
      </c>
      <c r="C283" s="122">
        <f>ROUND(VLOOKUP(A283,'Contribution Allocation_Report'!$A$9:$D$311,4,FALSE)*'OPEB Amounts_Report'!$C$326,0)</f>
        <v>2669945</v>
      </c>
      <c r="D283" s="122">
        <f>ROUND(VLOOKUP(A283,'Contribution Allocation_Report'!$A$9:$D$311,4,FALSE)*'OPEB Amounts_Report'!$D$326,0)</f>
        <v>44409</v>
      </c>
      <c r="E283" s="122">
        <f>ROUND(VLOOKUP(A283,'Contribution Allocation_Report'!$A$9:$D$311,4,FALSE)*'OPEB Amounts_Report'!$E$326,0)</f>
        <v>36816</v>
      </c>
      <c r="F283" s="122">
        <f>ROUND(VLOOKUP(A283,'Contribution Allocation_Report'!$A$9:$D$311,4,FALSE)*'OPEB Amounts_Report'!$F$326,0)</f>
        <v>569703</v>
      </c>
      <c r="G283" s="122">
        <f>INDEX('Change in Proportion Layers'!$AC$8:$AC$324,MATCH('OPEB Amounts_Report'!A283,'Change in Proportion Layers'!$A$8:$A$324,0))</f>
        <v>453046</v>
      </c>
      <c r="H283" s="122">
        <f t="shared" si="13"/>
        <v>1103974</v>
      </c>
      <c r="I283" s="122"/>
      <c r="J283" s="122">
        <f>ROUND(VLOOKUP(A283,'Contribution Allocation_Report'!$A$9:$D$311,4,FALSE)*'OPEB Amounts_Report'!$J$326,0)</f>
        <v>395743</v>
      </c>
      <c r="K283" s="122">
        <f>ROUND(VLOOKUP(A283,'Contribution Allocation_Report'!$A$9:$D$311,4,FALSE)*'OPEB Amounts_Report'!$K$326,0)</f>
        <v>1979200</v>
      </c>
      <c r="L283" s="131">
        <f>INDEX('Change in Proportion Layers'!$AD$8:$AD$324,MATCH('OPEB Amounts_Report'!A283,'Change in Proportion Layers'!$A$8:$A$324,0))</f>
        <v>663302</v>
      </c>
      <c r="M283" s="122">
        <f t="shared" si="12"/>
        <v>3038245</v>
      </c>
      <c r="N283" s="123"/>
      <c r="O283" s="123">
        <f>ROUND(VLOOKUP(A283,'Contribution Allocation_Report'!$A$9:$D$311,4,FALSE)*'OPEB Amounts_Report'!$O$326,0)</f>
        <v>-561686</v>
      </c>
      <c r="P283" s="123">
        <f>INDEX('Change in Proportion Layers'!$AA$8:$AA$324,MATCH('OPEB Amounts_Report'!A283,'Change in Proportion Layers'!$A$8:$A$324,0))</f>
        <v>-113602</v>
      </c>
      <c r="Q283" s="123">
        <f t="shared" si="14"/>
        <v>-675288</v>
      </c>
    </row>
    <row r="284" spans="1:17" ht="12" customHeight="1">
      <c r="A284" s="164">
        <v>32106</v>
      </c>
      <c r="B284" s="168" t="s">
        <v>268</v>
      </c>
      <c r="C284" s="120">
        <f>ROUND(VLOOKUP(A284,'Contribution Allocation_Report'!$A$9:$D$311,4,FALSE)*'OPEB Amounts_Report'!$C$326,0)</f>
        <v>332728</v>
      </c>
      <c r="D284" s="120">
        <f>ROUND(VLOOKUP(A284,'Contribution Allocation_Report'!$A$9:$D$311,4,FALSE)*'OPEB Amounts_Report'!$D$326,0)</f>
        <v>5534</v>
      </c>
      <c r="E284" s="120">
        <f>ROUND(VLOOKUP(A284,'Contribution Allocation_Report'!$A$9:$D$311,4,FALSE)*'OPEB Amounts_Report'!$E$326,0)</f>
        <v>4588</v>
      </c>
      <c r="F284" s="120">
        <f>ROUND(VLOOKUP(A284,'Contribution Allocation_Report'!$A$9:$D$311,4,FALSE)*'OPEB Amounts_Report'!$F$326,0)</f>
        <v>70996</v>
      </c>
      <c r="G284" s="120">
        <f>INDEX('Change in Proportion Layers'!$AC$8:$AC$324,MATCH('OPEB Amounts_Report'!A284,'Change in Proportion Layers'!$A$8:$A$324,0))</f>
        <v>205717</v>
      </c>
      <c r="H284" s="120">
        <f t="shared" si="13"/>
        <v>286835</v>
      </c>
      <c r="I284" s="120"/>
      <c r="J284" s="120">
        <f>ROUND(VLOOKUP(A284,'Contribution Allocation_Report'!$A$9:$D$311,4,FALSE)*'OPEB Amounts_Report'!$J$326,0)</f>
        <v>49317</v>
      </c>
      <c r="K284" s="120">
        <f>ROUND(VLOOKUP(A284,'Contribution Allocation_Report'!$A$9:$D$311,4,FALSE)*'OPEB Amounts_Report'!$K$326,0)</f>
        <v>246647</v>
      </c>
      <c r="L284" s="130">
        <f>INDEX('Change in Proportion Layers'!$AD$8:$AD$324,MATCH('OPEB Amounts_Report'!A284,'Change in Proportion Layers'!$A$8:$A$324,0))</f>
        <v>121696</v>
      </c>
      <c r="M284" s="120">
        <f t="shared" si="12"/>
        <v>417660</v>
      </c>
      <c r="N284" s="121"/>
      <c r="O284" s="121">
        <f>ROUND(VLOOKUP(A284,'Contribution Allocation_Report'!$A$9:$D$311,4,FALSE)*'OPEB Amounts_Report'!$O$326,0)</f>
        <v>-69997</v>
      </c>
      <c r="P284" s="121">
        <f>INDEX('Change in Proportion Layers'!$AA$8:$AA$324,MATCH('OPEB Amounts_Report'!A284,'Change in Proportion Layers'!$A$8:$A$324,0))</f>
        <v>61643</v>
      </c>
      <c r="Q284" s="121">
        <f t="shared" si="14"/>
        <v>-8354</v>
      </c>
    </row>
    <row r="285" spans="1:17" ht="12" customHeight="1">
      <c r="A285" s="166">
        <v>4180</v>
      </c>
      <c r="B285" s="167" t="s">
        <v>269</v>
      </c>
      <c r="C285" s="122">
        <f>ROUND(VLOOKUP(A285,'Contribution Allocation_Report'!$A$9:$D$311,4,FALSE)*'OPEB Amounts_Report'!$C$326,0)</f>
        <v>325901</v>
      </c>
      <c r="D285" s="122">
        <f>ROUND(VLOOKUP(A285,'Contribution Allocation_Report'!$A$9:$D$311,4,FALSE)*'OPEB Amounts_Report'!$D$326,0)</f>
        <v>5421</v>
      </c>
      <c r="E285" s="122">
        <f>ROUND(VLOOKUP(A285,'Contribution Allocation_Report'!$A$9:$D$311,4,FALSE)*'OPEB Amounts_Report'!$E$326,0)</f>
        <v>4494</v>
      </c>
      <c r="F285" s="122">
        <f>ROUND(VLOOKUP(A285,'Contribution Allocation_Report'!$A$9:$D$311,4,FALSE)*'OPEB Amounts_Report'!$F$326,0)</f>
        <v>69540</v>
      </c>
      <c r="G285" s="122">
        <f>INDEX('Change in Proportion Layers'!$AC$8:$AC$324,MATCH('OPEB Amounts_Report'!A285,'Change in Proportion Layers'!$A$8:$A$324,0))</f>
        <v>77548</v>
      </c>
      <c r="H285" s="122">
        <f t="shared" si="13"/>
        <v>157003</v>
      </c>
      <c r="I285" s="122"/>
      <c r="J285" s="122">
        <f>ROUND(VLOOKUP(A285,'Contribution Allocation_Report'!$A$9:$D$311,4,FALSE)*'OPEB Amounts_Report'!$J$326,0)</f>
        <v>48305</v>
      </c>
      <c r="K285" s="122">
        <f>ROUND(VLOOKUP(A285,'Contribution Allocation_Report'!$A$9:$D$311,4,FALSE)*'OPEB Amounts_Report'!$K$326,0)</f>
        <v>241587</v>
      </c>
      <c r="L285" s="122">
        <f>INDEX('Change in Proportion Layers'!$AD$8:$AD$324,MATCH('OPEB Amounts_Report'!A285,'Change in Proportion Layers'!$A$8:$A$324,0))</f>
        <v>93948</v>
      </c>
      <c r="M285" s="122">
        <f t="shared" si="12"/>
        <v>383840</v>
      </c>
      <c r="N285" s="123"/>
      <c r="O285" s="123">
        <f>ROUND(VLOOKUP(A285,'Contribution Allocation_Report'!$A$9:$D$311,4,FALSE)*'OPEB Amounts_Report'!$O$326,0)</f>
        <v>-68561</v>
      </c>
      <c r="P285" s="123">
        <f>INDEX('Change in Proportion Layers'!$AA$8:$AA$324,MATCH('OPEB Amounts_Report'!A285,'Change in Proportion Layers'!$A$8:$A$324,0))</f>
        <v>-704</v>
      </c>
      <c r="Q285" s="123">
        <f t="shared" si="14"/>
        <v>-69265</v>
      </c>
    </row>
    <row r="286" spans="1:17" ht="12" customHeight="1">
      <c r="A286" s="164">
        <v>21063</v>
      </c>
      <c r="B286" s="168" t="s">
        <v>270</v>
      </c>
      <c r="C286" s="120">
        <f>ROUND(VLOOKUP(A286,'Contribution Allocation_Report'!$A$9:$D$311,4,FALSE)*'OPEB Amounts_Report'!$C$326,0)</f>
        <v>4351833</v>
      </c>
      <c r="D286" s="120">
        <f>ROUND(VLOOKUP(A286,'Contribution Allocation_Report'!$A$9:$D$311,4,FALSE)*'OPEB Amounts_Report'!$D$326,0)</f>
        <v>72384</v>
      </c>
      <c r="E286" s="120">
        <f>ROUND(VLOOKUP(A286,'Contribution Allocation_Report'!$A$9:$D$311,4,FALSE)*'OPEB Amounts_Report'!$E$326,0)</f>
        <v>60008</v>
      </c>
      <c r="F286" s="120">
        <f>ROUND(VLOOKUP(A286,'Contribution Allocation_Report'!$A$9:$D$311,4,FALSE)*'OPEB Amounts_Report'!$F$326,0)</f>
        <v>928578</v>
      </c>
      <c r="G286" s="120">
        <f>INDEX('Change in Proportion Layers'!$AC$8:$AC$324,MATCH('OPEB Amounts_Report'!A286,'Change in Proportion Layers'!$A$8:$A$324,0))</f>
        <v>243280</v>
      </c>
      <c r="H286" s="120">
        <f t="shared" si="13"/>
        <v>1304250</v>
      </c>
      <c r="I286" s="120"/>
      <c r="J286" s="120">
        <f>ROUND(VLOOKUP(A286,'Contribution Allocation_Report'!$A$9:$D$311,4,FALSE)*'OPEB Amounts_Report'!$J$326,0)</f>
        <v>645034</v>
      </c>
      <c r="K286" s="120">
        <f>ROUND(VLOOKUP(A286,'Contribution Allocation_Report'!$A$9:$D$311,4,FALSE)*'OPEB Amounts_Report'!$K$326,0)</f>
        <v>3225965</v>
      </c>
      <c r="L286" s="120">
        <f>INDEX('Change in Proportion Layers'!$AD$8:$AD$324,MATCH('OPEB Amounts_Report'!A286,'Change in Proportion Layers'!$A$8:$A$324,0))</f>
        <v>171508</v>
      </c>
      <c r="M286" s="120">
        <f t="shared" si="12"/>
        <v>4042507</v>
      </c>
      <c r="N286" s="121"/>
      <c r="O286" s="121">
        <f>ROUND(VLOOKUP(A286,'Contribution Allocation_Report'!$A$9:$D$311,4,FALSE)*'OPEB Amounts_Report'!$O$326,0)</f>
        <v>-915511</v>
      </c>
      <c r="P286" s="121">
        <f>INDEX('Change in Proportion Layers'!$AA$8:$AA$324,MATCH('OPEB Amounts_Report'!A286,'Change in Proportion Layers'!$A$8:$A$324,0))</f>
        <v>-70547</v>
      </c>
      <c r="Q286" s="121">
        <f t="shared" si="14"/>
        <v>-986058</v>
      </c>
    </row>
    <row r="287" spans="1:17" ht="12" customHeight="1">
      <c r="A287" s="166">
        <v>10033</v>
      </c>
      <c r="B287" s="167" t="s">
        <v>271</v>
      </c>
      <c r="C287" s="122">
        <f>ROUND(VLOOKUP(A287,'Contribution Allocation_Report'!$A$9:$D$311,4,FALSE)*'OPEB Amounts_Report'!$C$326,0)</f>
        <v>3010978</v>
      </c>
      <c r="D287" s="122">
        <f>ROUND(VLOOKUP(A287,'Contribution Allocation_Report'!$A$9:$D$311,4,FALSE)*'OPEB Amounts_Report'!$D$326,0)</f>
        <v>50081</v>
      </c>
      <c r="E287" s="122">
        <f>ROUND(VLOOKUP(A287,'Contribution Allocation_Report'!$A$9:$D$311,4,FALSE)*'OPEB Amounts_Report'!$E$326,0)</f>
        <v>41519</v>
      </c>
      <c r="F287" s="122">
        <f>ROUND(VLOOKUP(A287,'Contribution Allocation_Report'!$A$9:$D$311,4,FALSE)*'OPEB Amounts_Report'!$F$326,0)</f>
        <v>642471</v>
      </c>
      <c r="G287" s="122">
        <f>INDEX('Change in Proportion Layers'!$AC$8:$AC$324,MATCH('OPEB Amounts_Report'!A287,'Change in Proportion Layers'!$A$8:$A$324,0))</f>
        <v>103792</v>
      </c>
      <c r="H287" s="122">
        <f t="shared" si="13"/>
        <v>837863</v>
      </c>
      <c r="I287" s="122"/>
      <c r="J287" s="122">
        <f>ROUND(VLOOKUP(A287,'Contribution Allocation_Report'!$A$9:$D$311,4,FALSE)*'OPEB Amounts_Report'!$J$326,0)</f>
        <v>446291</v>
      </c>
      <c r="K287" s="122">
        <f>ROUND(VLOOKUP(A287,'Contribution Allocation_Report'!$A$9:$D$311,4,FALSE)*'OPEB Amounts_Report'!$K$326,0)</f>
        <v>2232004</v>
      </c>
      <c r="L287" s="131">
        <f>INDEX('Change in Proportion Layers'!$AD$8:$AD$324,MATCH('OPEB Amounts_Report'!A287,'Change in Proportion Layers'!$A$8:$A$324,0))</f>
        <v>191150</v>
      </c>
      <c r="M287" s="122">
        <f t="shared" si="12"/>
        <v>2869445</v>
      </c>
      <c r="N287" s="123"/>
      <c r="O287" s="123">
        <f>ROUND(VLOOKUP(A287,'Contribution Allocation_Report'!$A$9:$D$311,4,FALSE)*'OPEB Amounts_Report'!$O$326,0)</f>
        <v>-633430</v>
      </c>
      <c r="P287" s="123">
        <f>INDEX('Change in Proportion Layers'!$AA$8:$AA$324,MATCH('OPEB Amounts_Report'!A287,'Change in Proportion Layers'!$A$8:$A$324,0))</f>
        <v>-39659</v>
      </c>
      <c r="Q287" s="123">
        <f t="shared" si="14"/>
        <v>-673089</v>
      </c>
    </row>
    <row r="288" spans="1:17" ht="12" customHeight="1">
      <c r="A288" s="164">
        <v>15049</v>
      </c>
      <c r="B288" s="168" t="s">
        <v>272</v>
      </c>
      <c r="C288" s="120">
        <f>ROUND(VLOOKUP(A288,'Contribution Allocation_Report'!$A$9:$D$311,4,FALSE)*'OPEB Amounts_Report'!$C$326,0)</f>
        <v>3147942</v>
      </c>
      <c r="D288" s="120">
        <f>ROUND(VLOOKUP(A288,'Contribution Allocation_Report'!$A$9:$D$311,4,FALSE)*'OPEB Amounts_Report'!$D$326,0)</f>
        <v>52360</v>
      </c>
      <c r="E288" s="120">
        <f>ROUND(VLOOKUP(A288,'Contribution Allocation_Report'!$A$9:$D$311,4,FALSE)*'OPEB Amounts_Report'!$E$326,0)</f>
        <v>43407</v>
      </c>
      <c r="F288" s="120">
        <f>ROUND(VLOOKUP(A288,'Contribution Allocation_Report'!$A$9:$D$311,4,FALSE)*'OPEB Amounts_Report'!$F$326,0)</f>
        <v>671696</v>
      </c>
      <c r="G288" s="120">
        <f>INDEX('Change in Proportion Layers'!$AC$8:$AC$324,MATCH('OPEB Amounts_Report'!A288,'Change in Proportion Layers'!$A$8:$A$324,0))</f>
        <v>142942</v>
      </c>
      <c r="H288" s="120">
        <f t="shared" si="13"/>
        <v>910405</v>
      </c>
      <c r="I288" s="120"/>
      <c r="J288" s="120">
        <f>ROUND(VLOOKUP(A288,'Contribution Allocation_Report'!$A$9:$D$311,4,FALSE)*'OPEB Amounts_Report'!$J$326,0)</f>
        <v>466592</v>
      </c>
      <c r="K288" s="120">
        <f>ROUND(VLOOKUP(A288,'Contribution Allocation_Report'!$A$9:$D$311,4,FALSE)*'OPEB Amounts_Report'!$K$326,0)</f>
        <v>2333534</v>
      </c>
      <c r="L288" s="130">
        <f>INDEX('Change in Proportion Layers'!$AD$8:$AD$324,MATCH('OPEB Amounts_Report'!A288,'Change in Proportion Layers'!$A$8:$A$324,0))</f>
        <v>96288</v>
      </c>
      <c r="M288" s="120">
        <f t="shared" si="12"/>
        <v>2896414</v>
      </c>
      <c r="N288" s="121"/>
      <c r="O288" s="121">
        <f>ROUND(VLOOKUP(A288,'Contribution Allocation_Report'!$A$9:$D$311,4,FALSE)*'OPEB Amounts_Report'!$O$326,0)</f>
        <v>-662244</v>
      </c>
      <c r="P288" s="121">
        <f>INDEX('Change in Proportion Layers'!$AA$8:$AA$324,MATCH('OPEB Amounts_Report'!A288,'Change in Proportion Layers'!$A$8:$A$324,0))</f>
        <v>-42617</v>
      </c>
      <c r="Q288" s="121">
        <f t="shared" si="14"/>
        <v>-704861</v>
      </c>
    </row>
    <row r="289" spans="1:17" ht="12" customHeight="1">
      <c r="A289" s="166">
        <v>1315</v>
      </c>
      <c r="B289" s="167" t="s">
        <v>273</v>
      </c>
      <c r="C289" s="122">
        <f>ROUND(VLOOKUP(A289,'Contribution Allocation_Report'!$A$9:$D$311,4,FALSE)*'OPEB Amounts_Report'!$C$326,0)</f>
        <v>2056759</v>
      </c>
      <c r="D289" s="122">
        <f>ROUND(VLOOKUP(A289,'Contribution Allocation_Report'!$A$9:$D$311,4,FALSE)*'OPEB Amounts_Report'!$D$326,0)</f>
        <v>34210</v>
      </c>
      <c r="E289" s="122">
        <f>ROUND(VLOOKUP(A289,'Contribution Allocation_Report'!$A$9:$D$311,4,FALSE)*'OPEB Amounts_Report'!$E$326,0)</f>
        <v>28361</v>
      </c>
      <c r="F289" s="122">
        <f>ROUND(VLOOKUP(A289,'Contribution Allocation_Report'!$A$9:$D$311,4,FALSE)*'OPEB Amounts_Report'!$F$326,0)</f>
        <v>438864</v>
      </c>
      <c r="G289" s="122">
        <f>INDEX('Change in Proportion Layers'!$AC$8:$AC$324,MATCH('OPEB Amounts_Report'!A289,'Change in Proportion Layers'!$A$8:$A$324,0))</f>
        <v>964442</v>
      </c>
      <c r="H289" s="122">
        <f t="shared" si="13"/>
        <v>1465877</v>
      </c>
      <c r="I289" s="122"/>
      <c r="J289" s="122">
        <f>ROUND(VLOOKUP(A289,'Contribution Allocation_Report'!$A$9:$D$311,4,FALSE)*'OPEB Amounts_Report'!$J$326,0)</f>
        <v>304855</v>
      </c>
      <c r="K289" s="122">
        <f>ROUND(VLOOKUP(A289,'Contribution Allocation_Report'!$A$9:$D$311,4,FALSE)*'OPEB Amounts_Report'!$K$326,0)</f>
        <v>1524652</v>
      </c>
      <c r="L289" s="122">
        <f>INDEX('Change in Proportion Layers'!$AD$8:$AD$324,MATCH('OPEB Amounts_Report'!A289,'Change in Proportion Layers'!$A$8:$A$324,0))</f>
        <v>0</v>
      </c>
      <c r="M289" s="122">
        <f t="shared" si="12"/>
        <v>1829507</v>
      </c>
      <c r="N289" s="123"/>
      <c r="O289" s="123">
        <f>ROUND(VLOOKUP(A289,'Contribution Allocation_Report'!$A$9:$D$311,4,FALSE)*'OPEB Amounts_Report'!$O$326,0)</f>
        <v>-432688</v>
      </c>
      <c r="P289" s="123">
        <f>INDEX('Change in Proportion Layers'!$AA$8:$AA$324,MATCH('OPEB Amounts_Report'!A289,'Change in Proportion Layers'!$A$8:$A$324,0))</f>
        <v>316582</v>
      </c>
      <c r="Q289" s="123">
        <f t="shared" si="14"/>
        <v>-116106</v>
      </c>
    </row>
    <row r="290" spans="1:17" ht="12" customHeight="1">
      <c r="A290" s="164">
        <v>3340</v>
      </c>
      <c r="B290" s="168" t="s">
        <v>274</v>
      </c>
      <c r="C290" s="120">
        <f>ROUND(VLOOKUP(A290,'Contribution Allocation_Report'!$A$9:$D$311,4,FALSE)*'OPEB Amounts_Report'!$C$326,0)</f>
        <v>803170</v>
      </c>
      <c r="D290" s="120">
        <f>ROUND(VLOOKUP(A290,'Contribution Allocation_Report'!$A$9:$D$311,4,FALSE)*'OPEB Amounts_Report'!$D$326,0)</f>
        <v>13359</v>
      </c>
      <c r="E290" s="120">
        <f>ROUND(VLOOKUP(A290,'Contribution Allocation_Report'!$A$9:$D$311,4,FALSE)*'OPEB Amounts_Report'!$E$326,0)</f>
        <v>11075</v>
      </c>
      <c r="F290" s="120">
        <f>ROUND(VLOOKUP(A290,'Contribution Allocation_Report'!$A$9:$D$311,4,FALSE)*'OPEB Amounts_Report'!$F$326,0)</f>
        <v>171377</v>
      </c>
      <c r="G290" s="120">
        <f>INDEX('Change in Proportion Layers'!$AC$8:$AC$324,MATCH('OPEB Amounts_Report'!A290,'Change in Proportion Layers'!$A$8:$A$324,0))</f>
        <v>106884</v>
      </c>
      <c r="H290" s="120">
        <f t="shared" si="13"/>
        <v>302695</v>
      </c>
      <c r="I290" s="120"/>
      <c r="J290" s="120">
        <f>ROUND(VLOOKUP(A290,'Contribution Allocation_Report'!$A$9:$D$311,4,FALSE)*'OPEB Amounts_Report'!$J$326,0)</f>
        <v>119047</v>
      </c>
      <c r="K290" s="120">
        <f>ROUND(VLOOKUP(A290,'Contribution Allocation_Report'!$A$9:$D$311,4,FALSE)*'OPEB Amounts_Report'!$K$326,0)</f>
        <v>595381</v>
      </c>
      <c r="L290" s="120">
        <f>INDEX('Change in Proportion Layers'!$AD$8:$AD$324,MATCH('OPEB Amounts_Report'!A290,'Change in Proportion Layers'!$A$8:$A$324,0))</f>
        <v>114429</v>
      </c>
      <c r="M290" s="120">
        <f t="shared" si="12"/>
        <v>828857</v>
      </c>
      <c r="N290" s="121"/>
      <c r="O290" s="121">
        <f>ROUND(VLOOKUP(A290,'Contribution Allocation_Report'!$A$9:$D$311,4,FALSE)*'OPEB Amounts_Report'!$O$326,0)</f>
        <v>-168966</v>
      </c>
      <c r="P290" s="121">
        <f>INDEX('Change in Proportion Layers'!$AA$8:$AA$324,MATCH('OPEB Amounts_Report'!A290,'Change in Proportion Layers'!$A$8:$A$324,0))</f>
        <v>-16005</v>
      </c>
      <c r="Q290" s="121">
        <f t="shared" si="14"/>
        <v>-184971</v>
      </c>
    </row>
    <row r="291" spans="1:17" ht="12" customHeight="1">
      <c r="A291" s="166">
        <v>3350</v>
      </c>
      <c r="B291" s="167" t="s">
        <v>275</v>
      </c>
      <c r="C291" s="122">
        <f>ROUND(VLOOKUP(A291,'Contribution Allocation_Report'!$A$9:$D$311,4,FALSE)*'OPEB Amounts_Report'!$C$326,0)</f>
        <v>4914025</v>
      </c>
      <c r="D291" s="122">
        <f>ROUND(VLOOKUP(A291,'Contribution Allocation_Report'!$A$9:$D$311,4,FALSE)*'OPEB Amounts_Report'!$D$326,0)</f>
        <v>81735</v>
      </c>
      <c r="E291" s="122">
        <f>ROUND(VLOOKUP(A291,'Contribution Allocation_Report'!$A$9:$D$311,4,FALSE)*'OPEB Amounts_Report'!$E$326,0)</f>
        <v>67760</v>
      </c>
      <c r="F291" s="122">
        <f>ROUND(VLOOKUP(A291,'Contribution Allocation_Report'!$A$9:$D$311,4,FALSE)*'OPEB Amounts_Report'!$F$326,0)</f>
        <v>1048536</v>
      </c>
      <c r="G291" s="122">
        <f>INDEX('Change in Proportion Layers'!$AC$8:$AC$324,MATCH('OPEB Amounts_Report'!A291,'Change in Proportion Layers'!$A$8:$A$324,0))</f>
        <v>1563182</v>
      </c>
      <c r="H291" s="122">
        <f t="shared" si="13"/>
        <v>2761213</v>
      </c>
      <c r="I291" s="122"/>
      <c r="J291" s="122">
        <f>ROUND(VLOOKUP(A291,'Contribution Allocation_Report'!$A$9:$D$311,4,FALSE)*'OPEB Amounts_Report'!$J$326,0)</f>
        <v>728363</v>
      </c>
      <c r="K291" s="122">
        <f>ROUND(VLOOKUP(A291,'Contribution Allocation_Report'!$A$9:$D$311,4,FALSE)*'OPEB Amounts_Report'!$K$326,0)</f>
        <v>3642711</v>
      </c>
      <c r="L291" s="122">
        <f>INDEX('Change in Proportion Layers'!$AD$8:$AD$324,MATCH('OPEB Amounts_Report'!A291,'Change in Proportion Layers'!$A$8:$A$324,0))</f>
        <v>1603503</v>
      </c>
      <c r="M291" s="122">
        <f t="shared" si="12"/>
        <v>5974577</v>
      </c>
      <c r="N291" s="123"/>
      <c r="O291" s="123">
        <f>ROUND(VLOOKUP(A291,'Contribution Allocation_Report'!$A$9:$D$311,4,FALSE)*'OPEB Amounts_Report'!$O$326,0)</f>
        <v>-1033781</v>
      </c>
      <c r="P291" s="123">
        <f>INDEX('Change in Proportion Layers'!$AA$8:$AA$324,MATCH('OPEB Amounts_Report'!A291,'Change in Proportion Layers'!$A$8:$A$324,0))</f>
        <v>-198124</v>
      </c>
      <c r="Q291" s="123">
        <f t="shared" si="14"/>
        <v>-1231905</v>
      </c>
    </row>
    <row r="292" spans="1:17" ht="12" customHeight="1">
      <c r="A292" s="164">
        <v>24073</v>
      </c>
      <c r="B292" s="168" t="s">
        <v>276</v>
      </c>
      <c r="C292" s="120">
        <f>ROUND(VLOOKUP(A292,'Contribution Allocation_Report'!$A$9:$D$311,4,FALSE)*'OPEB Amounts_Report'!$C$326,0)</f>
        <v>507261</v>
      </c>
      <c r="D292" s="120">
        <f>ROUND(VLOOKUP(A292,'Contribution Allocation_Report'!$A$9:$D$311,4,FALSE)*'OPEB Amounts_Report'!$D$326,0)</f>
        <v>8437</v>
      </c>
      <c r="E292" s="120">
        <f>ROUND(VLOOKUP(A292,'Contribution Allocation_Report'!$A$9:$D$311,4,FALSE)*'OPEB Amounts_Report'!$E$326,0)</f>
        <v>6995</v>
      </c>
      <c r="F292" s="120">
        <f>ROUND(VLOOKUP(A292,'Contribution Allocation_Report'!$A$9:$D$311,4,FALSE)*'OPEB Amounts_Report'!$F$326,0)</f>
        <v>108237</v>
      </c>
      <c r="G292" s="120">
        <f>INDEX('Change in Proportion Layers'!$AC$8:$AC$324,MATCH('OPEB Amounts_Report'!A292,'Change in Proportion Layers'!$A$8:$A$324,0))</f>
        <v>63858</v>
      </c>
      <c r="H292" s="120">
        <f t="shared" si="13"/>
        <v>187527</v>
      </c>
      <c r="I292" s="120"/>
      <c r="J292" s="120">
        <f>ROUND(VLOOKUP(A292,'Contribution Allocation_Report'!$A$9:$D$311,4,FALSE)*'OPEB Amounts_Report'!$J$326,0)</f>
        <v>75187</v>
      </c>
      <c r="K292" s="120">
        <f>ROUND(VLOOKUP(A292,'Contribution Allocation_Report'!$A$9:$D$311,4,FALSE)*'OPEB Amounts_Report'!$K$326,0)</f>
        <v>376027</v>
      </c>
      <c r="L292" s="120">
        <f>INDEX('Change in Proportion Layers'!$AD$8:$AD$324,MATCH('OPEB Amounts_Report'!A292,'Change in Proportion Layers'!$A$8:$A$324,0))</f>
        <v>81497</v>
      </c>
      <c r="M292" s="120">
        <f t="shared" si="12"/>
        <v>532711</v>
      </c>
      <c r="N292" s="121"/>
      <c r="O292" s="121">
        <f>ROUND(VLOOKUP(A292,'Contribution Allocation_Report'!$A$9:$D$311,4,FALSE)*'OPEB Amounts_Report'!$O$326,0)</f>
        <v>-106714</v>
      </c>
      <c r="P292" s="121">
        <f>INDEX('Change in Proportion Layers'!$AA$8:$AA$324,MATCH('OPEB Amounts_Report'!A292,'Change in Proportion Layers'!$A$8:$A$324,0))</f>
        <v>-10536</v>
      </c>
      <c r="Q292" s="121">
        <f t="shared" si="14"/>
        <v>-117250</v>
      </c>
    </row>
    <row r="293" spans="1:17" ht="12" customHeight="1">
      <c r="A293" s="166">
        <v>2100</v>
      </c>
      <c r="B293" s="167" t="s">
        <v>277</v>
      </c>
      <c r="C293" s="122">
        <f>ROUND(VLOOKUP(A293,'Contribution Allocation_Report'!$A$9:$D$311,4,FALSE)*'OPEB Amounts_Report'!$C$326,0)</f>
        <v>673852</v>
      </c>
      <c r="D293" s="122">
        <f>ROUND(VLOOKUP(A293,'Contribution Allocation_Report'!$A$9:$D$311,4,FALSE)*'OPEB Amounts_Report'!$D$326,0)</f>
        <v>11208</v>
      </c>
      <c r="E293" s="122">
        <f>ROUND(VLOOKUP(A293,'Contribution Allocation_Report'!$A$9:$D$311,4,FALSE)*'OPEB Amounts_Report'!$E$326,0)</f>
        <v>9292</v>
      </c>
      <c r="F293" s="122">
        <f>ROUND(VLOOKUP(A293,'Contribution Allocation_Report'!$A$9:$D$311,4,FALSE)*'OPEB Amounts_Report'!$F$326,0)</f>
        <v>143784</v>
      </c>
      <c r="G293" s="122">
        <f>INDEX('Change in Proportion Layers'!$AC$8:$AC$324,MATCH('OPEB Amounts_Report'!A293,'Change in Proportion Layers'!$A$8:$A$324,0))</f>
        <v>38079</v>
      </c>
      <c r="H293" s="122">
        <f t="shared" si="13"/>
        <v>202363</v>
      </c>
      <c r="I293" s="122"/>
      <c r="J293" s="122">
        <f>ROUND(VLOOKUP(A293,'Contribution Allocation_Report'!$A$9:$D$311,4,FALSE)*'OPEB Amounts_Report'!$J$326,0)</f>
        <v>99879</v>
      </c>
      <c r="K293" s="122">
        <f>ROUND(VLOOKUP(A293,'Contribution Allocation_Report'!$A$9:$D$311,4,FALSE)*'OPEB Amounts_Report'!$K$326,0)</f>
        <v>499519</v>
      </c>
      <c r="L293" s="131">
        <f>INDEX('Change in Proportion Layers'!$AD$8:$AD$324,MATCH('OPEB Amounts_Report'!A293,'Change in Proportion Layers'!$A$8:$A$324,0))</f>
        <v>46469</v>
      </c>
      <c r="M293" s="122">
        <f t="shared" si="12"/>
        <v>645867</v>
      </c>
      <c r="N293" s="123"/>
      <c r="O293" s="123">
        <f>ROUND(VLOOKUP(A293,'Contribution Allocation_Report'!$A$9:$D$311,4,FALSE)*'OPEB Amounts_Report'!$O$326,0)</f>
        <v>-141761</v>
      </c>
      <c r="P293" s="123">
        <f>INDEX('Change in Proportion Layers'!$AA$8:$AA$324,MATCH('OPEB Amounts_Report'!A293,'Change in Proportion Layers'!$A$8:$A$324,0))</f>
        <v>-223</v>
      </c>
      <c r="Q293" s="123">
        <f t="shared" si="14"/>
        <v>-141984</v>
      </c>
    </row>
    <row r="294" spans="1:17" ht="12" customHeight="1">
      <c r="A294" s="164">
        <v>2130</v>
      </c>
      <c r="B294" s="168" t="s">
        <v>278</v>
      </c>
      <c r="C294" s="120">
        <f>ROUND(VLOOKUP(A294,'Contribution Allocation_Report'!$A$9:$D$311,4,FALSE)*'OPEB Amounts_Report'!$C$326,0)</f>
        <v>203865</v>
      </c>
      <c r="D294" s="120">
        <f>ROUND(VLOOKUP(A294,'Contribution Allocation_Report'!$A$9:$D$311,4,FALSE)*'OPEB Amounts_Report'!$D$326,0)</f>
        <v>3391</v>
      </c>
      <c r="E294" s="120">
        <f>ROUND(VLOOKUP(A294,'Contribution Allocation_Report'!$A$9:$D$311,4,FALSE)*'OPEB Amounts_Report'!$E$326,0)</f>
        <v>2811</v>
      </c>
      <c r="F294" s="120">
        <f>ROUND(VLOOKUP(A294,'Contribution Allocation_Report'!$A$9:$D$311,4,FALSE)*'OPEB Amounts_Report'!$F$326,0)</f>
        <v>43500</v>
      </c>
      <c r="G294" s="120">
        <f>INDEX('Change in Proportion Layers'!$AC$8:$AC$324,MATCH('OPEB Amounts_Report'!A294,'Change in Proportion Layers'!$A$8:$A$324,0))</f>
        <v>20958</v>
      </c>
      <c r="H294" s="120">
        <f t="shared" si="13"/>
        <v>70660</v>
      </c>
      <c r="I294" s="120"/>
      <c r="J294" s="120">
        <f>ROUND(VLOOKUP(A294,'Contribution Allocation_Report'!$A$9:$D$311,4,FALSE)*'OPEB Amounts_Report'!$J$326,0)</f>
        <v>30217</v>
      </c>
      <c r="K294" s="120">
        <f>ROUND(VLOOKUP(A294,'Contribution Allocation_Report'!$A$9:$D$311,4,FALSE)*'OPEB Amounts_Report'!$K$326,0)</f>
        <v>151122</v>
      </c>
      <c r="L294" s="130">
        <f>INDEX('Change in Proportion Layers'!$AD$8:$AD$324,MATCH('OPEB Amounts_Report'!A294,'Change in Proportion Layers'!$A$8:$A$324,0))</f>
        <v>63797</v>
      </c>
      <c r="M294" s="120">
        <f t="shared" si="12"/>
        <v>245136</v>
      </c>
      <c r="N294" s="121"/>
      <c r="O294" s="121">
        <f>ROUND(VLOOKUP(A294,'Contribution Allocation_Report'!$A$9:$D$311,4,FALSE)*'OPEB Amounts_Report'!$O$326,0)</f>
        <v>-42888</v>
      </c>
      <c r="P294" s="121">
        <f>INDEX('Change in Proportion Layers'!$AA$8:$AA$324,MATCH('OPEB Amounts_Report'!A294,'Change in Proportion Layers'!$A$8:$A$324,0))</f>
        <v>-6281</v>
      </c>
      <c r="Q294" s="121">
        <f t="shared" si="14"/>
        <v>-49169</v>
      </c>
    </row>
    <row r="295" spans="1:17" ht="12" customHeight="1">
      <c r="A295" s="166">
        <v>32099</v>
      </c>
      <c r="B295" s="167" t="s">
        <v>279</v>
      </c>
      <c r="C295" s="122">
        <f>ROUND(VLOOKUP(A295,'Contribution Allocation_Report'!$A$9:$D$311,4,FALSE)*'OPEB Amounts_Report'!$C$326,0)</f>
        <v>243254</v>
      </c>
      <c r="D295" s="122">
        <f>ROUND(VLOOKUP(A295,'Contribution Allocation_Report'!$A$9:$D$311,4,FALSE)*'OPEB Amounts_Report'!$D$326,0)</f>
        <v>4046</v>
      </c>
      <c r="E295" s="122">
        <f>ROUND(VLOOKUP(A295,'Contribution Allocation_Report'!$A$9:$D$311,4,FALSE)*'OPEB Amounts_Report'!$E$326,0)</f>
        <v>3354</v>
      </c>
      <c r="F295" s="122">
        <f>ROUND(VLOOKUP(A295,'Contribution Allocation_Report'!$A$9:$D$311,4,FALSE)*'OPEB Amounts_Report'!$F$326,0)</f>
        <v>51905</v>
      </c>
      <c r="G295" s="122">
        <f>INDEX('Change in Proportion Layers'!$AC$8:$AC$324,MATCH('OPEB Amounts_Report'!A295,'Change in Proportion Layers'!$A$8:$A$324,0))</f>
        <v>44316</v>
      </c>
      <c r="H295" s="122">
        <f t="shared" si="13"/>
        <v>103621</v>
      </c>
      <c r="I295" s="122"/>
      <c r="J295" s="122">
        <f>ROUND(VLOOKUP(A295,'Contribution Allocation_Report'!$A$9:$D$311,4,FALSE)*'OPEB Amounts_Report'!$J$326,0)</f>
        <v>36055</v>
      </c>
      <c r="K295" s="122">
        <f>ROUND(VLOOKUP(A295,'Contribution Allocation_Report'!$A$9:$D$311,4,FALSE)*'OPEB Amounts_Report'!$K$326,0)</f>
        <v>180321</v>
      </c>
      <c r="L295" s="131">
        <f>INDEX('Change in Proportion Layers'!$AD$8:$AD$324,MATCH('OPEB Amounts_Report'!A295,'Change in Proportion Layers'!$A$8:$A$324,0))</f>
        <v>61030</v>
      </c>
      <c r="M295" s="122">
        <f t="shared" si="12"/>
        <v>277406</v>
      </c>
      <c r="N295" s="123"/>
      <c r="O295" s="123">
        <f>ROUND(VLOOKUP(A295,'Contribution Allocation_Report'!$A$9:$D$311,4,FALSE)*'OPEB Amounts_Report'!$O$326,0)</f>
        <v>-51174</v>
      </c>
      <c r="P295" s="123">
        <f>INDEX('Change in Proportion Layers'!$AA$8:$AA$324,MATCH('OPEB Amounts_Report'!A295,'Change in Proportion Layers'!$A$8:$A$324,0))</f>
        <v>-16319</v>
      </c>
      <c r="Q295" s="123">
        <f t="shared" si="14"/>
        <v>-67493</v>
      </c>
    </row>
    <row r="296" spans="1:17" ht="12" customHeight="1">
      <c r="A296" s="164">
        <v>32100</v>
      </c>
      <c r="B296" s="168" t="s">
        <v>280</v>
      </c>
      <c r="C296" s="120">
        <f>ROUND(VLOOKUP(A296,'Contribution Allocation_Report'!$A$9:$D$311,4,FALSE)*'OPEB Amounts_Report'!$C$326,0)</f>
        <v>515908</v>
      </c>
      <c r="D296" s="120">
        <f>ROUND(VLOOKUP(A296,'Contribution Allocation_Report'!$A$9:$D$311,4,FALSE)*'OPEB Amounts_Report'!$D$326,0)</f>
        <v>8581</v>
      </c>
      <c r="E296" s="120">
        <f>ROUND(VLOOKUP(A296,'Contribution Allocation_Report'!$A$9:$D$311,4,FALSE)*'OPEB Amounts_Report'!$E$326,0)</f>
        <v>7114</v>
      </c>
      <c r="F296" s="120">
        <f>ROUND(VLOOKUP(A296,'Contribution Allocation_Report'!$A$9:$D$311,4,FALSE)*'OPEB Amounts_Report'!$F$326,0)</f>
        <v>110082</v>
      </c>
      <c r="G296" s="120">
        <f>INDEX('Change in Proportion Layers'!$AC$8:$AC$324,MATCH('OPEB Amounts_Report'!A296,'Change in Proportion Layers'!$A$8:$A$324,0))</f>
        <v>111004</v>
      </c>
      <c r="H296" s="120">
        <f t="shared" si="13"/>
        <v>236781</v>
      </c>
      <c r="I296" s="120"/>
      <c r="J296" s="120">
        <f>ROUND(VLOOKUP(A296,'Contribution Allocation_Report'!$A$9:$D$311,4,FALSE)*'OPEB Amounts_Report'!$J$326,0)</f>
        <v>76468</v>
      </c>
      <c r="K296" s="120">
        <f>ROUND(VLOOKUP(A296,'Contribution Allocation_Report'!$A$9:$D$311,4,FALSE)*'OPEB Amounts_Report'!$K$326,0)</f>
        <v>382437</v>
      </c>
      <c r="L296" s="130">
        <f>INDEX('Change in Proportion Layers'!$AD$8:$AD$324,MATCH('OPEB Amounts_Report'!A296,'Change in Proportion Layers'!$A$8:$A$324,0))</f>
        <v>48108</v>
      </c>
      <c r="M296" s="120">
        <f t="shared" si="12"/>
        <v>507013</v>
      </c>
      <c r="N296" s="121"/>
      <c r="O296" s="121">
        <f>ROUND(VLOOKUP(A296,'Contribution Allocation_Report'!$A$9:$D$311,4,FALSE)*'OPEB Amounts_Report'!$O$326,0)</f>
        <v>-108533</v>
      </c>
      <c r="P296" s="121">
        <f>INDEX('Change in Proportion Layers'!$AA$8:$AA$324,MATCH('OPEB Amounts_Report'!A296,'Change in Proportion Layers'!$A$8:$A$324,0))</f>
        <v>32072</v>
      </c>
      <c r="Q296" s="121">
        <f t="shared" si="14"/>
        <v>-76461</v>
      </c>
    </row>
    <row r="297" spans="1:17" ht="12" customHeight="1">
      <c r="A297" s="166">
        <v>32101</v>
      </c>
      <c r="B297" s="167" t="s">
        <v>281</v>
      </c>
      <c r="C297" s="122">
        <f>ROUND(VLOOKUP(A297,'Contribution Allocation_Report'!$A$9:$D$311,4,FALSE)*'OPEB Amounts_Report'!$C$326,0)</f>
        <v>147386</v>
      </c>
      <c r="D297" s="122">
        <f>ROUND(VLOOKUP(A297,'Contribution Allocation_Report'!$A$9:$D$311,4,FALSE)*'OPEB Amounts_Report'!$D$326,0)</f>
        <v>2451</v>
      </c>
      <c r="E297" s="122">
        <f>ROUND(VLOOKUP(A297,'Contribution Allocation_Report'!$A$9:$D$311,4,FALSE)*'OPEB Amounts_Report'!$E$326,0)</f>
        <v>2032</v>
      </c>
      <c r="F297" s="122">
        <f>ROUND(VLOOKUP(A297,'Contribution Allocation_Report'!$A$9:$D$311,4,FALSE)*'OPEB Amounts_Report'!$F$326,0)</f>
        <v>31449</v>
      </c>
      <c r="G297" s="122">
        <f>INDEX('Change in Proportion Layers'!$AC$8:$AC$324,MATCH('OPEB Amounts_Report'!A297,'Change in Proportion Layers'!$A$8:$A$324,0))</f>
        <v>203482</v>
      </c>
      <c r="H297" s="122">
        <f t="shared" si="13"/>
        <v>239414</v>
      </c>
      <c r="I297" s="122"/>
      <c r="J297" s="122">
        <f>ROUND(VLOOKUP(A297,'Contribution Allocation_Report'!$A$9:$D$311,4,FALSE)*'OPEB Amounts_Report'!$J$326,0)</f>
        <v>21846</v>
      </c>
      <c r="K297" s="122">
        <f>ROUND(VLOOKUP(A297,'Contribution Allocation_Report'!$A$9:$D$311,4,FALSE)*'OPEB Amounts_Report'!$K$326,0)</f>
        <v>109256</v>
      </c>
      <c r="L297" s="131">
        <f>INDEX('Change in Proportion Layers'!$AD$8:$AD$324,MATCH('OPEB Amounts_Report'!A297,'Change in Proportion Layers'!$A$8:$A$324,0))</f>
        <v>186619</v>
      </c>
      <c r="M297" s="122">
        <f t="shared" si="12"/>
        <v>317721</v>
      </c>
      <c r="N297" s="123"/>
      <c r="O297" s="123">
        <f>ROUND(VLOOKUP(A297,'Contribution Allocation_Report'!$A$9:$D$311,4,FALSE)*'OPEB Amounts_Report'!$O$326,0)</f>
        <v>-31006</v>
      </c>
      <c r="P297" s="123">
        <f>INDEX('Change in Proportion Layers'!$AA$8:$AA$324,MATCH('OPEB Amounts_Report'!A297,'Change in Proportion Layers'!$A$8:$A$324,0))</f>
        <v>-7272</v>
      </c>
      <c r="Q297" s="123">
        <f t="shared" si="14"/>
        <v>-38278</v>
      </c>
    </row>
    <row r="298" spans="1:17" ht="12" customHeight="1">
      <c r="A298" s="164">
        <v>32102</v>
      </c>
      <c r="B298" s="165" t="s">
        <v>282</v>
      </c>
      <c r="C298" s="126">
        <f>ROUND(VLOOKUP(A298,'Contribution Allocation_Report'!$A$9:$D$311,4,FALSE)*'OPEB Amounts_Report'!$C$326,0)</f>
        <v>276499</v>
      </c>
      <c r="D298" s="126">
        <f>ROUND(VLOOKUP(A298,'Contribution Allocation_Report'!$A$9:$D$311,4,FALSE)*'OPEB Amounts_Report'!$D$326,0)</f>
        <v>4599</v>
      </c>
      <c r="E298" s="126">
        <f>ROUND(VLOOKUP(A298,'Contribution Allocation_Report'!$A$9:$D$311,4,FALSE)*'OPEB Amounts_Report'!$E$326,0)</f>
        <v>3813</v>
      </c>
      <c r="F298" s="126">
        <f>ROUND(VLOOKUP(A298,'Contribution Allocation_Report'!$A$9:$D$311,4,FALSE)*'OPEB Amounts_Report'!$F$326,0)</f>
        <v>58998</v>
      </c>
      <c r="G298" s="126">
        <f>INDEX('Change in Proportion Layers'!$AC$8:$AC$324,MATCH('OPEB Amounts_Report'!A298,'Change in Proportion Layers'!$A$8:$A$324,0))</f>
        <v>28202</v>
      </c>
      <c r="H298" s="126">
        <f t="shared" si="13"/>
        <v>95612</v>
      </c>
      <c r="I298" s="126"/>
      <c r="J298" s="126">
        <f>ROUND(VLOOKUP(A298,'Contribution Allocation_Report'!$A$9:$D$311,4,FALSE)*'OPEB Amounts_Report'!$J$326,0)</f>
        <v>40983</v>
      </c>
      <c r="K298" s="126">
        <f>ROUND(VLOOKUP(A298,'Contribution Allocation_Report'!$A$9:$D$311,4,FALSE)*'OPEB Amounts_Report'!$K$326,0)</f>
        <v>204966</v>
      </c>
      <c r="L298" s="128">
        <f>INDEX('Change in Proportion Layers'!$AD$8:$AD$324,MATCH('OPEB Amounts_Report'!A298,'Change in Proportion Layers'!$A$8:$A$324,0))</f>
        <v>42452</v>
      </c>
      <c r="M298" s="126">
        <f t="shared" si="12"/>
        <v>288401</v>
      </c>
      <c r="N298" s="127"/>
      <c r="O298" s="127">
        <f>ROUND(VLOOKUP(A298,'Contribution Allocation_Report'!$A$9:$D$311,4,FALSE)*'OPEB Amounts_Report'!$O$326,0)</f>
        <v>-58168</v>
      </c>
      <c r="P298" s="127">
        <f>INDEX('Change in Proportion Layers'!$AA$8:$AA$324,MATCH('OPEB Amounts_Report'!A298,'Change in Proportion Layers'!$A$8:$A$324,0))</f>
        <v>-10947</v>
      </c>
      <c r="Q298" s="127">
        <f t="shared" si="14"/>
        <v>-69115</v>
      </c>
    </row>
    <row r="299" spans="1:17" ht="12" customHeight="1">
      <c r="A299" s="166">
        <v>2880</v>
      </c>
      <c r="B299" s="167" t="s">
        <v>283</v>
      </c>
      <c r="C299" s="122">
        <f>ROUND(VLOOKUP(A299,'Contribution Allocation_Report'!$A$9:$D$311,4,FALSE)*'OPEB Amounts_Report'!$C$326,0)</f>
        <v>83216</v>
      </c>
      <c r="D299" s="122">
        <f>ROUND(VLOOKUP(A299,'Contribution Allocation_Report'!$A$9:$D$311,4,FALSE)*'OPEB Amounts_Report'!$D$326,0)</f>
        <v>1384</v>
      </c>
      <c r="E299" s="122">
        <f>ROUND(VLOOKUP(A299,'Contribution Allocation_Report'!$A$9:$D$311,4,FALSE)*'OPEB Amounts_Report'!$E$326,0)</f>
        <v>1147</v>
      </c>
      <c r="F299" s="122">
        <f>ROUND(VLOOKUP(A299,'Contribution Allocation_Report'!$A$9:$D$311,4,FALSE)*'OPEB Amounts_Report'!$F$326,0)</f>
        <v>17756</v>
      </c>
      <c r="G299" s="122">
        <f>INDEX('Change in Proportion Layers'!$AC$8:$AC$324,MATCH('OPEB Amounts_Report'!A299,'Change in Proportion Layers'!$A$8:$A$324,0))</f>
        <v>25449</v>
      </c>
      <c r="H299" s="122">
        <f t="shared" si="13"/>
        <v>45736</v>
      </c>
      <c r="I299" s="122"/>
      <c r="J299" s="122">
        <f>ROUND(VLOOKUP(A299,'Contribution Allocation_Report'!$A$9:$D$311,4,FALSE)*'OPEB Amounts_Report'!$J$326,0)</f>
        <v>12334</v>
      </c>
      <c r="K299" s="122">
        <f>ROUND(VLOOKUP(A299,'Contribution Allocation_Report'!$A$9:$D$311,4,FALSE)*'OPEB Amounts_Report'!$K$326,0)</f>
        <v>61687</v>
      </c>
      <c r="L299" s="122">
        <f>INDEX('Change in Proportion Layers'!$AD$8:$AD$324,MATCH('OPEB Amounts_Report'!A299,'Change in Proportion Layers'!$A$8:$A$324,0))</f>
        <v>32489</v>
      </c>
      <c r="M299" s="122">
        <f t="shared" si="12"/>
        <v>106510</v>
      </c>
      <c r="N299" s="123"/>
      <c r="O299" s="123">
        <f>ROUND(VLOOKUP(A299,'Contribution Allocation_Report'!$A$9:$D$311,4,FALSE)*'OPEB Amounts_Report'!$O$326,0)</f>
        <v>-17506</v>
      </c>
      <c r="P299" s="123">
        <f>INDEX('Change in Proportion Layers'!$AA$8:$AA$324,MATCH('OPEB Amounts_Report'!A299,'Change in Proportion Layers'!$A$8:$A$324,0))</f>
        <v>710</v>
      </c>
      <c r="Q299" s="123">
        <f t="shared" si="14"/>
        <v>-16796</v>
      </c>
    </row>
    <row r="300" spans="1:17" ht="12" customHeight="1">
      <c r="A300" s="164">
        <v>2490</v>
      </c>
      <c r="B300" s="168" t="s">
        <v>284</v>
      </c>
      <c r="C300" s="120">
        <f>ROUND(VLOOKUP(A300,'Contribution Allocation_Report'!$A$9:$D$311,4,FALSE)*'OPEB Amounts_Report'!$C$326,0)</f>
        <v>615075</v>
      </c>
      <c r="D300" s="120">
        <f>ROUND(VLOOKUP(A300,'Contribution Allocation_Report'!$A$9:$D$311,4,FALSE)*'OPEB Amounts_Report'!$D$326,0)</f>
        <v>10231</v>
      </c>
      <c r="E300" s="120">
        <f>ROUND(VLOOKUP(A300,'Contribution Allocation_Report'!$A$9:$D$311,4,FALSE)*'OPEB Amounts_Report'!$E$326,0)</f>
        <v>8481</v>
      </c>
      <c r="F300" s="120">
        <f>ROUND(VLOOKUP(A300,'Contribution Allocation_Report'!$A$9:$D$311,4,FALSE)*'OPEB Amounts_Report'!$F$326,0)</f>
        <v>131242</v>
      </c>
      <c r="G300" s="120">
        <f>INDEX('Change in Proportion Layers'!$AC$8:$AC$324,MATCH('OPEB Amounts_Report'!A300,'Change in Proportion Layers'!$A$8:$A$324,0))</f>
        <v>39626</v>
      </c>
      <c r="H300" s="120">
        <f t="shared" si="13"/>
        <v>189580</v>
      </c>
      <c r="I300" s="120"/>
      <c r="J300" s="120">
        <f>ROUND(VLOOKUP(A300,'Contribution Allocation_Report'!$A$9:$D$311,4,FALSE)*'OPEB Amounts_Report'!$J$326,0)</f>
        <v>91167</v>
      </c>
      <c r="K300" s="120">
        <f>ROUND(VLOOKUP(A300,'Contribution Allocation_Report'!$A$9:$D$311,4,FALSE)*'OPEB Amounts_Report'!$K$326,0)</f>
        <v>455948</v>
      </c>
      <c r="L300" s="120">
        <f>INDEX('Change in Proportion Layers'!$AD$8:$AD$324,MATCH('OPEB Amounts_Report'!A300,'Change in Proportion Layers'!$A$8:$A$324,0))</f>
        <v>176664</v>
      </c>
      <c r="M300" s="120">
        <f t="shared" si="12"/>
        <v>723779</v>
      </c>
      <c r="N300" s="121"/>
      <c r="O300" s="121">
        <f>ROUND(VLOOKUP(A300,'Contribution Allocation_Report'!$A$9:$D$311,4,FALSE)*'OPEB Amounts_Report'!$O$326,0)</f>
        <v>-129396</v>
      </c>
      <c r="P300" s="121">
        <f>INDEX('Change in Proportion Layers'!$AA$8:$AA$324,MATCH('OPEB Amounts_Report'!A300,'Change in Proportion Layers'!$A$8:$A$324,0))</f>
        <v>-29027</v>
      </c>
      <c r="Q300" s="121">
        <f t="shared" si="14"/>
        <v>-158423</v>
      </c>
    </row>
    <row r="301" spans="1:17" ht="12" customHeight="1">
      <c r="A301" s="166">
        <v>2530</v>
      </c>
      <c r="B301" s="167" t="s">
        <v>285</v>
      </c>
      <c r="C301" s="122">
        <f>ROUND(VLOOKUP(A301,'Contribution Allocation_Report'!$A$9:$D$311,4,FALSE)*'OPEB Amounts_Report'!$C$326,0)</f>
        <v>135257</v>
      </c>
      <c r="D301" s="122">
        <f>ROUND(VLOOKUP(A301,'Contribution Allocation_Report'!$A$9:$D$311,4,FALSE)*'OPEB Amounts_Report'!$D$326,0)</f>
        <v>2250</v>
      </c>
      <c r="E301" s="122">
        <f>ROUND(VLOOKUP(A301,'Contribution Allocation_Report'!$A$9:$D$311,4,FALSE)*'OPEB Amounts_Report'!$E$326,0)</f>
        <v>1865</v>
      </c>
      <c r="F301" s="122">
        <f>ROUND(VLOOKUP(A301,'Contribution Allocation_Report'!$A$9:$D$311,4,FALSE)*'OPEB Amounts_Report'!$F$326,0)</f>
        <v>28861</v>
      </c>
      <c r="G301" s="122">
        <f>INDEX('Change in Proportion Layers'!$AC$8:$AC$324,MATCH('OPEB Amounts_Report'!A301,'Change in Proportion Layers'!$A$8:$A$324,0))</f>
        <v>123942</v>
      </c>
      <c r="H301" s="122">
        <f t="shared" si="13"/>
        <v>156918</v>
      </c>
      <c r="I301" s="122"/>
      <c r="J301" s="122">
        <f>ROUND(VLOOKUP(A301,'Contribution Allocation_Report'!$A$9:$D$311,4,FALSE)*'OPEB Amounts_Report'!$J$326,0)</f>
        <v>20048</v>
      </c>
      <c r="K301" s="122">
        <f>ROUND(VLOOKUP(A301,'Contribution Allocation_Report'!$A$9:$D$311,4,FALSE)*'OPEB Amounts_Report'!$K$326,0)</f>
        <v>100265</v>
      </c>
      <c r="L301" s="122">
        <f>INDEX('Change in Proportion Layers'!$AD$8:$AD$324,MATCH('OPEB Amounts_Report'!A301,'Change in Proportion Layers'!$A$8:$A$324,0))</f>
        <v>154079</v>
      </c>
      <c r="M301" s="122">
        <f t="shared" si="12"/>
        <v>274392</v>
      </c>
      <c r="N301" s="123"/>
      <c r="O301" s="123">
        <f>ROUND(VLOOKUP(A301,'Contribution Allocation_Report'!$A$9:$D$311,4,FALSE)*'OPEB Amounts_Report'!$O$326,0)</f>
        <v>-28455</v>
      </c>
      <c r="P301" s="123">
        <f>INDEX('Change in Proportion Layers'!$AA$8:$AA$324,MATCH('OPEB Amounts_Report'!A301,'Change in Proportion Layers'!$A$8:$A$324,0))</f>
        <v>-8549</v>
      </c>
      <c r="Q301" s="123">
        <f t="shared" si="14"/>
        <v>-37004</v>
      </c>
    </row>
    <row r="302" spans="1:17" ht="12" customHeight="1">
      <c r="A302" s="164">
        <v>2560</v>
      </c>
      <c r="B302" s="168" t="s">
        <v>286</v>
      </c>
      <c r="C302" s="120">
        <f>ROUND(VLOOKUP(A302,'Contribution Allocation_Report'!$A$9:$D$311,4,FALSE)*'OPEB Amounts_Report'!$C$326,0)</f>
        <v>213809</v>
      </c>
      <c r="D302" s="120">
        <f>ROUND(VLOOKUP(A302,'Contribution Allocation_Report'!$A$9:$D$311,4,FALSE)*'OPEB Amounts_Report'!$D$326,0)</f>
        <v>3556</v>
      </c>
      <c r="E302" s="120">
        <f>ROUND(VLOOKUP(A302,'Contribution Allocation_Report'!$A$9:$D$311,4,FALSE)*'OPEB Amounts_Report'!$E$326,0)</f>
        <v>2948</v>
      </c>
      <c r="F302" s="120">
        <f>ROUND(VLOOKUP(A302,'Contribution Allocation_Report'!$A$9:$D$311,4,FALSE)*'OPEB Amounts_Report'!$F$326,0)</f>
        <v>45622</v>
      </c>
      <c r="G302" s="120">
        <f>INDEX('Change in Proportion Layers'!$AC$8:$AC$324,MATCH('OPEB Amounts_Report'!A302,'Change in Proportion Layers'!$A$8:$A$324,0))</f>
        <v>32090</v>
      </c>
      <c r="H302" s="120">
        <f t="shared" si="13"/>
        <v>84216</v>
      </c>
      <c r="I302" s="120"/>
      <c r="J302" s="120">
        <f>ROUND(VLOOKUP(A302,'Contribution Allocation_Report'!$A$9:$D$311,4,FALSE)*'OPEB Amounts_Report'!$J$326,0)</f>
        <v>31691</v>
      </c>
      <c r="K302" s="120">
        <f>ROUND(VLOOKUP(A302,'Contribution Allocation_Report'!$A$9:$D$311,4,FALSE)*'OPEB Amounts_Report'!$K$326,0)</f>
        <v>158494</v>
      </c>
      <c r="L302" s="120">
        <f>INDEX('Change in Proportion Layers'!$AD$8:$AD$324,MATCH('OPEB Amounts_Report'!A302,'Change in Proportion Layers'!$A$8:$A$324,0))</f>
        <v>103116</v>
      </c>
      <c r="M302" s="120">
        <f t="shared" si="12"/>
        <v>293301</v>
      </c>
      <c r="N302" s="121"/>
      <c r="O302" s="121">
        <f>ROUND(VLOOKUP(A302,'Contribution Allocation_Report'!$A$9:$D$311,4,FALSE)*'OPEB Amounts_Report'!$O$326,0)</f>
        <v>-44980</v>
      </c>
      <c r="P302" s="121">
        <f>INDEX('Change in Proportion Layers'!$AA$8:$AA$324,MATCH('OPEB Amounts_Report'!A302,'Change in Proportion Layers'!$A$8:$A$324,0))</f>
        <v>-21562</v>
      </c>
      <c r="Q302" s="121">
        <f t="shared" si="14"/>
        <v>-66542</v>
      </c>
    </row>
    <row r="303" spans="1:17" ht="12" customHeight="1">
      <c r="A303" s="166">
        <v>2610</v>
      </c>
      <c r="B303" s="167" t="s">
        <v>287</v>
      </c>
      <c r="C303" s="122">
        <f>ROUND(VLOOKUP(A303,'Contribution Allocation_Report'!$A$9:$D$311,4,FALSE)*'OPEB Amounts_Report'!$C$326,0)</f>
        <v>68334</v>
      </c>
      <c r="D303" s="122">
        <f>ROUND(VLOOKUP(A303,'Contribution Allocation_Report'!$A$9:$D$311,4,FALSE)*'OPEB Amounts_Report'!$D$326,0)</f>
        <v>1137</v>
      </c>
      <c r="E303" s="122">
        <f>ROUND(VLOOKUP(A303,'Contribution Allocation_Report'!$A$9:$D$311,4,FALSE)*'OPEB Amounts_Report'!$E$326,0)</f>
        <v>942</v>
      </c>
      <c r="F303" s="122">
        <f>ROUND(VLOOKUP(A303,'Contribution Allocation_Report'!$A$9:$D$311,4,FALSE)*'OPEB Amounts_Report'!$F$326,0)</f>
        <v>14581</v>
      </c>
      <c r="G303" s="122">
        <f>INDEX('Change in Proportion Layers'!$AC$8:$AC$324,MATCH('OPEB Amounts_Report'!A303,'Change in Proportion Layers'!$A$8:$A$324,0))</f>
        <v>8515</v>
      </c>
      <c r="H303" s="122">
        <f t="shared" si="13"/>
        <v>25175</v>
      </c>
      <c r="I303" s="122"/>
      <c r="J303" s="122">
        <f>ROUND(VLOOKUP(A303,'Contribution Allocation_Report'!$A$9:$D$311,4,FALSE)*'OPEB Amounts_Report'!$J$326,0)</f>
        <v>10129</v>
      </c>
      <c r="K303" s="122">
        <f>ROUND(VLOOKUP(A303,'Contribution Allocation_Report'!$A$9:$D$311,4,FALSE)*'OPEB Amounts_Report'!$K$326,0)</f>
        <v>50655</v>
      </c>
      <c r="L303" s="122">
        <f>INDEX('Change in Proportion Layers'!$AD$8:$AD$324,MATCH('OPEB Amounts_Report'!A303,'Change in Proportion Layers'!$A$8:$A$324,0))</f>
        <v>29230</v>
      </c>
      <c r="M303" s="122">
        <f t="shared" si="12"/>
        <v>90014</v>
      </c>
      <c r="N303" s="123"/>
      <c r="O303" s="123">
        <f>ROUND(VLOOKUP(A303,'Contribution Allocation_Report'!$A$9:$D$311,4,FALSE)*'OPEB Amounts_Report'!$O$326,0)</f>
        <v>-14376</v>
      </c>
      <c r="P303" s="123">
        <f>INDEX('Change in Proportion Layers'!$AA$8:$AA$324,MATCH('OPEB Amounts_Report'!A303,'Change in Proportion Layers'!$A$8:$A$324,0))</f>
        <v>-2172</v>
      </c>
      <c r="Q303" s="123">
        <f t="shared" si="14"/>
        <v>-16548</v>
      </c>
    </row>
    <row r="304" spans="1:17" ht="12" customHeight="1">
      <c r="A304" s="164">
        <v>2800</v>
      </c>
      <c r="B304" s="168" t="s">
        <v>288</v>
      </c>
      <c r="C304" s="120">
        <f>ROUND(VLOOKUP(A304,'Contribution Allocation_Report'!$A$9:$D$311,4,FALSE)*'OPEB Amounts_Report'!$C$326,0)</f>
        <v>211351</v>
      </c>
      <c r="D304" s="120">
        <f>ROUND(VLOOKUP(A304,'Contribution Allocation_Report'!$A$9:$D$311,4,FALSE)*'OPEB Amounts_Report'!$D$326,0)</f>
        <v>3515</v>
      </c>
      <c r="E304" s="120">
        <f>ROUND(VLOOKUP(A304,'Contribution Allocation_Report'!$A$9:$D$311,4,FALSE)*'OPEB Amounts_Report'!$E$326,0)</f>
        <v>2914</v>
      </c>
      <c r="F304" s="120">
        <f>ROUND(VLOOKUP(A304,'Contribution Allocation_Report'!$A$9:$D$311,4,FALSE)*'OPEB Amounts_Report'!$F$326,0)</f>
        <v>45097</v>
      </c>
      <c r="G304" s="130">
        <f>INDEX('Change in Proportion Layers'!$AC$8:$AC$324,MATCH('OPEB Amounts_Report'!A304,'Change in Proportion Layers'!$A$8:$A$324,0))</f>
        <v>81716</v>
      </c>
      <c r="H304" s="120">
        <f t="shared" si="13"/>
        <v>133242</v>
      </c>
      <c r="I304" s="120"/>
      <c r="J304" s="120">
        <f>ROUND(VLOOKUP(A304,'Contribution Allocation_Report'!$A$9:$D$311,4,FALSE)*'OPEB Amounts_Report'!$J$326,0)</f>
        <v>31327</v>
      </c>
      <c r="K304" s="120">
        <f>ROUND(VLOOKUP(A304,'Contribution Allocation_Report'!$A$9:$D$311,4,FALSE)*'OPEB Amounts_Report'!$K$326,0)</f>
        <v>156672</v>
      </c>
      <c r="L304" s="120">
        <f>INDEX('Change in Proportion Layers'!$AD$8:$AD$324,MATCH('OPEB Amounts_Report'!A304,'Change in Proportion Layers'!$A$8:$A$324,0))</f>
        <v>4454</v>
      </c>
      <c r="M304" s="120">
        <f t="shared" si="12"/>
        <v>192453</v>
      </c>
      <c r="N304" s="121"/>
      <c r="O304" s="121">
        <f>ROUND(VLOOKUP(A304,'Contribution Allocation_Report'!$A$9:$D$311,4,FALSE)*'OPEB Amounts_Report'!$O$326,0)</f>
        <v>-44463</v>
      </c>
      <c r="P304" s="121">
        <f>INDEX('Change in Proportion Layers'!$AA$8:$AA$324,MATCH('OPEB Amounts_Report'!A304,'Change in Proportion Layers'!$A$8:$A$324,0))</f>
        <v>32726</v>
      </c>
      <c r="Q304" s="121">
        <f t="shared" si="14"/>
        <v>-11737</v>
      </c>
    </row>
    <row r="305" spans="1:17" ht="12" customHeight="1">
      <c r="A305" s="166">
        <v>20317</v>
      </c>
      <c r="B305" s="167" t="s">
        <v>289</v>
      </c>
      <c r="C305" s="122">
        <f>ROUND(VLOOKUP(A305,'Contribution Allocation_Report'!$A$9:$D$311,4,FALSE)*'OPEB Amounts_Report'!$C$326,0)</f>
        <v>425387</v>
      </c>
      <c r="D305" s="122">
        <f>ROUND(VLOOKUP(A305,'Contribution Allocation_Report'!$A$9:$D$311,4,FALSE)*'OPEB Amounts_Report'!$D$326,0)</f>
        <v>7075</v>
      </c>
      <c r="E305" s="122">
        <f>ROUND(VLOOKUP(A305,'Contribution Allocation_Report'!$A$9:$D$311,4,FALSE)*'OPEB Amounts_Report'!$E$326,0)</f>
        <v>5866</v>
      </c>
      <c r="F305" s="122">
        <f>ROUND(VLOOKUP(A305,'Contribution Allocation_Report'!$A$9:$D$311,4,FALSE)*'OPEB Amounts_Report'!$F$326,0)</f>
        <v>90768</v>
      </c>
      <c r="G305" s="122">
        <f>INDEX('Change in Proportion Layers'!$AC$8:$AC$324,MATCH('OPEB Amounts_Report'!A305,'Change in Proportion Layers'!$A$8:$A$324,0))</f>
        <v>221957</v>
      </c>
      <c r="H305" s="122">
        <f t="shared" si="13"/>
        <v>325666</v>
      </c>
      <c r="I305" s="122"/>
      <c r="J305" s="122">
        <f>ROUND(VLOOKUP(A305,'Contribution Allocation_Report'!$A$9:$D$311,4,FALSE)*'OPEB Amounts_Report'!$J$326,0)</f>
        <v>63051</v>
      </c>
      <c r="K305" s="122">
        <f>ROUND(VLOOKUP(A305,'Contribution Allocation_Report'!$A$9:$D$311,4,FALSE)*'OPEB Amounts_Report'!$K$326,0)</f>
        <v>315335</v>
      </c>
      <c r="L305" s="131">
        <f>INDEX('Change in Proportion Layers'!$AD$8:$AD$324,MATCH('OPEB Amounts_Report'!A305,'Change in Proportion Layers'!$A$8:$A$324,0))</f>
        <v>121127</v>
      </c>
      <c r="M305" s="122">
        <f t="shared" si="12"/>
        <v>499513</v>
      </c>
      <c r="N305" s="123"/>
      <c r="O305" s="123">
        <f>ROUND(VLOOKUP(A305,'Contribution Allocation_Report'!$A$9:$D$311,4,FALSE)*'OPEB Amounts_Report'!$O$326,0)</f>
        <v>-89490</v>
      </c>
      <c r="P305" s="123">
        <f>INDEX('Change in Proportion Layers'!$AA$8:$AA$324,MATCH('OPEB Amounts_Report'!A305,'Change in Proportion Layers'!$A$8:$A$324,0))</f>
        <v>25677</v>
      </c>
      <c r="Q305" s="123">
        <f t="shared" si="14"/>
        <v>-63813</v>
      </c>
    </row>
    <row r="306" spans="1:17" ht="12" customHeight="1">
      <c r="A306" s="164">
        <v>2442</v>
      </c>
      <c r="B306" s="168" t="s">
        <v>444</v>
      </c>
      <c r="C306" s="120">
        <f>ROUND(VLOOKUP(A306,'Contribution Allocation_Report'!$A$9:$D$311,4,FALSE)*'OPEB Amounts_Report'!$C$326,0)</f>
        <v>134302</v>
      </c>
      <c r="D306" s="120">
        <f>ROUND(VLOOKUP(A306,'Contribution Allocation_Report'!$A$9:$D$311,4,FALSE)*'OPEB Amounts_Report'!$D$326,0)</f>
        <v>2234</v>
      </c>
      <c r="E306" s="120">
        <f>ROUND(VLOOKUP(A306,'Contribution Allocation_Report'!$A$9:$D$311,4,FALSE)*'OPEB Amounts_Report'!$E$326,0)</f>
        <v>1852</v>
      </c>
      <c r="F306" s="120">
        <f>ROUND(VLOOKUP(A306,'Contribution Allocation_Report'!$A$9:$D$311,4,FALSE)*'OPEB Amounts_Report'!$F$326,0)</f>
        <v>28657</v>
      </c>
      <c r="G306" s="130">
        <f>INDEX('Change in Proportion Layers'!$AC$8:$AC$324,MATCH('OPEB Amounts_Report'!A306,'Change in Proportion Layers'!$A$8:$A$324,0))</f>
        <v>204789</v>
      </c>
      <c r="H306" s="120">
        <f t="shared" si="13"/>
        <v>237532</v>
      </c>
      <c r="I306" s="120"/>
      <c r="J306" s="120">
        <f>ROUND(VLOOKUP(A306,'Contribution Allocation_Report'!$A$9:$D$311,4,FALSE)*'OPEB Amounts_Report'!$J$326,0)</f>
        <v>19906</v>
      </c>
      <c r="K306" s="120">
        <f>ROUND(VLOOKUP(A306,'Contribution Allocation_Report'!$A$9:$D$311,4,FALSE)*'OPEB Amounts_Report'!$K$326,0)</f>
        <v>99556</v>
      </c>
      <c r="L306" s="120">
        <f>INDEX('Change in Proportion Layers'!$AD$8:$AD$324,MATCH('OPEB Amounts_Report'!A306,'Change in Proportion Layers'!$A$8:$A$324,0))</f>
        <v>0</v>
      </c>
      <c r="M306" s="120">
        <f t="shared" si="12"/>
        <v>119462</v>
      </c>
      <c r="N306" s="121"/>
      <c r="O306" s="121">
        <f>ROUND(VLOOKUP(A306,'Contribution Allocation_Report'!$A$9:$D$311,4,FALSE)*'OPEB Amounts_Report'!$O$326,0)</f>
        <v>-28254</v>
      </c>
      <c r="P306" s="121">
        <f>INDEX('Change in Proportion Layers'!$AA$8:$AA$324,MATCH('OPEB Amounts_Report'!A306,'Change in Proportion Layers'!$A$8:$A$324,0))</f>
        <v>44396</v>
      </c>
      <c r="Q306" s="121">
        <f t="shared" si="14"/>
        <v>16142</v>
      </c>
    </row>
    <row r="307" spans="1:17" ht="12" customHeight="1">
      <c r="A307" s="166">
        <v>30090</v>
      </c>
      <c r="B307" s="167" t="s">
        <v>290</v>
      </c>
      <c r="C307" s="122">
        <f>ROUND(VLOOKUP(A307,'Contribution Allocation_Report'!$A$9:$D$311,4,FALSE)*'OPEB Amounts_Report'!$C$326,0)</f>
        <v>627795</v>
      </c>
      <c r="D307" s="122">
        <f>ROUND(VLOOKUP(A307,'Contribution Allocation_Report'!$A$9:$D$311,4,FALSE)*'OPEB Amounts_Report'!$D$326,0)</f>
        <v>10442</v>
      </c>
      <c r="E307" s="122">
        <f>ROUND(VLOOKUP(A307,'Contribution Allocation_Report'!$A$9:$D$311,4,FALSE)*'OPEB Amounts_Report'!$E$326,0)</f>
        <v>8657</v>
      </c>
      <c r="F307" s="122">
        <f>ROUND(VLOOKUP(A307,'Contribution Allocation_Report'!$A$9:$D$311,4,FALSE)*'OPEB Amounts_Report'!$F$326,0)</f>
        <v>133957</v>
      </c>
      <c r="G307" s="122">
        <f>INDEX('Change in Proportion Layers'!$AC$8:$AC$324,MATCH('OPEB Amounts_Report'!A307,'Change in Proportion Layers'!$A$8:$A$324,0))</f>
        <v>174774</v>
      </c>
      <c r="H307" s="122">
        <f t="shared" si="13"/>
        <v>327830</v>
      </c>
      <c r="I307" s="122"/>
      <c r="J307" s="122">
        <f>ROUND(VLOOKUP(A307,'Contribution Allocation_Report'!$A$9:$D$311,4,FALSE)*'OPEB Amounts_Report'!$J$326,0)</f>
        <v>93053</v>
      </c>
      <c r="K307" s="122">
        <f>ROUND(VLOOKUP(A307,'Contribution Allocation_Report'!$A$9:$D$311,4,FALSE)*'OPEB Amounts_Report'!$K$326,0)</f>
        <v>465378</v>
      </c>
      <c r="L307" s="122">
        <f>INDEX('Change in Proportion Layers'!$AD$8:$AD$324,MATCH('OPEB Amounts_Report'!A307,'Change in Proportion Layers'!$A$8:$A$324,0))</f>
        <v>221970</v>
      </c>
      <c r="M307" s="122">
        <f t="shared" si="12"/>
        <v>780401</v>
      </c>
      <c r="N307" s="123"/>
      <c r="O307" s="123">
        <f>ROUND(VLOOKUP(A307,'Contribution Allocation_Report'!$A$9:$D$311,4,FALSE)*'OPEB Amounts_Report'!$O$326,0)</f>
        <v>-132072</v>
      </c>
      <c r="P307" s="123">
        <f>INDEX('Change in Proportion Layers'!$AA$8:$AA$324,MATCH('OPEB Amounts_Report'!A307,'Change in Proportion Layers'!$A$8:$A$324,0))</f>
        <v>-12932</v>
      </c>
      <c r="Q307" s="123">
        <f t="shared" si="14"/>
        <v>-145004</v>
      </c>
    </row>
    <row r="308" spans="1:17" ht="12" customHeight="1">
      <c r="A308" s="164">
        <v>29330</v>
      </c>
      <c r="B308" s="168" t="s">
        <v>291</v>
      </c>
      <c r="C308" s="120">
        <f>ROUND(VLOOKUP(A308,'Contribution Allocation_Report'!$A$9:$D$311,4,FALSE)*'OPEB Amounts_Report'!$C$326,0)</f>
        <v>268876</v>
      </c>
      <c r="D308" s="120">
        <f>ROUND(VLOOKUP(A308,'Contribution Allocation_Report'!$A$9:$D$311,4,FALSE)*'OPEB Amounts_Report'!$D$326,0)</f>
        <v>4472</v>
      </c>
      <c r="E308" s="120">
        <f>ROUND(VLOOKUP(A308,'Contribution Allocation_Report'!$A$9:$D$311,4,FALSE)*'OPEB Amounts_Report'!$E$326,0)</f>
        <v>3708</v>
      </c>
      <c r="F308" s="120">
        <f>ROUND(VLOOKUP(A308,'Contribution Allocation_Report'!$A$9:$D$311,4,FALSE)*'OPEB Amounts_Report'!$F$326,0)</f>
        <v>57372</v>
      </c>
      <c r="G308" s="120">
        <f>INDEX('Change in Proportion Layers'!$AC$8:$AC$324,MATCH('OPEB Amounts_Report'!A308,'Change in Proportion Layers'!$A$8:$A$324,0))</f>
        <v>22752</v>
      </c>
      <c r="H308" s="120">
        <f t="shared" si="13"/>
        <v>88304</v>
      </c>
      <c r="I308" s="120"/>
      <c r="J308" s="120">
        <f>ROUND(VLOOKUP(A308,'Contribution Allocation_Report'!$A$9:$D$311,4,FALSE)*'OPEB Amounts_Report'!$J$326,0)</f>
        <v>39853</v>
      </c>
      <c r="K308" s="120">
        <f>ROUND(VLOOKUP(A308,'Contribution Allocation_Report'!$A$9:$D$311,4,FALSE)*'OPEB Amounts_Report'!$K$326,0)</f>
        <v>199315</v>
      </c>
      <c r="L308" s="120">
        <f>INDEX('Change in Proportion Layers'!$AD$8:$AD$324,MATCH('OPEB Amounts_Report'!A308,'Change in Proportion Layers'!$A$8:$A$324,0))</f>
        <v>43863</v>
      </c>
      <c r="M308" s="120">
        <f t="shared" si="12"/>
        <v>283031</v>
      </c>
      <c r="N308" s="121"/>
      <c r="O308" s="121">
        <f>ROUND(VLOOKUP(A308,'Contribution Allocation_Report'!$A$9:$D$311,4,FALSE)*'OPEB Amounts_Report'!$O$326,0)</f>
        <v>-56564</v>
      </c>
      <c r="P308" s="121">
        <f>INDEX('Change in Proportion Layers'!$AA$8:$AA$324,MATCH('OPEB Amounts_Report'!A308,'Change in Proportion Layers'!$A$8:$A$324,0))</f>
        <v>4332</v>
      </c>
      <c r="Q308" s="121">
        <f t="shared" si="14"/>
        <v>-52232</v>
      </c>
    </row>
    <row r="309" spans="1:17" ht="12" customHeight="1">
      <c r="A309" s="166">
        <v>12038</v>
      </c>
      <c r="B309" s="167" t="s">
        <v>292</v>
      </c>
      <c r="C309" s="122">
        <f>ROUND(VLOOKUP(A309,'Contribution Allocation_Report'!$A$9:$D$311,4,FALSE)*'OPEB Amounts_Report'!$C$326,0)</f>
        <v>5798614</v>
      </c>
      <c r="D309" s="122">
        <f>ROUND(VLOOKUP(A309,'Contribution Allocation_Report'!$A$9:$D$311,4,FALSE)*'OPEB Amounts_Report'!$D$326,0)</f>
        <v>96448</v>
      </c>
      <c r="E309" s="122">
        <f>ROUND(VLOOKUP(A309,'Contribution Allocation_Report'!$A$9:$D$311,4,FALSE)*'OPEB Amounts_Report'!$E$326,0)</f>
        <v>79957</v>
      </c>
      <c r="F309" s="122">
        <f>ROUND(VLOOKUP(A309,'Contribution Allocation_Report'!$A$9:$D$311,4,FALSE)*'OPEB Amounts_Report'!$F$326,0)</f>
        <v>1237287</v>
      </c>
      <c r="G309" s="122">
        <f>INDEX('Change in Proportion Layers'!$AC$8:$AC$324,MATCH('OPEB Amounts_Report'!A309,'Change in Proportion Layers'!$A$8:$A$324,0))</f>
        <v>982649</v>
      </c>
      <c r="H309" s="122">
        <f t="shared" si="13"/>
        <v>2396341</v>
      </c>
      <c r="I309" s="122"/>
      <c r="J309" s="122">
        <f>ROUND(VLOOKUP(A309,'Contribution Allocation_Report'!$A$9:$D$311,4,FALSE)*'OPEB Amounts_Report'!$J$326,0)</f>
        <v>859478</v>
      </c>
      <c r="K309" s="122">
        <f>ROUND(VLOOKUP(A309,'Contribution Allocation_Report'!$A$9:$D$311,4,FALSE)*'OPEB Amounts_Report'!$K$326,0)</f>
        <v>4298447</v>
      </c>
      <c r="L309" s="122">
        <f>INDEX('Change in Proportion Layers'!$AD$8:$AD$324,MATCH('OPEB Amounts_Report'!A309,'Change in Proportion Layers'!$A$8:$A$324,0))</f>
        <v>0</v>
      </c>
      <c r="M309" s="122">
        <f t="shared" si="12"/>
        <v>5157925</v>
      </c>
      <c r="N309" s="123"/>
      <c r="O309" s="123">
        <f>ROUND(VLOOKUP(A309,'Contribution Allocation_Report'!$A$9:$D$311,4,FALSE)*'OPEB Amounts_Report'!$O$326,0)</f>
        <v>-1219875</v>
      </c>
      <c r="P309" s="123">
        <f>INDEX('Change in Proportion Layers'!$AA$8:$AA$324,MATCH('OPEB Amounts_Report'!A309,'Change in Proportion Layers'!$A$8:$A$324,0))</f>
        <v>327358</v>
      </c>
      <c r="Q309" s="123">
        <f t="shared" si="14"/>
        <v>-892517</v>
      </c>
    </row>
    <row r="310" spans="1:17" ht="12" customHeight="1">
      <c r="A310" s="164">
        <v>8099</v>
      </c>
      <c r="B310" s="168" t="s">
        <v>293</v>
      </c>
      <c r="C310" s="120">
        <f>ROUND(VLOOKUP(A310,'Contribution Allocation_Report'!$A$9:$D$311,4,FALSE)*'OPEB Amounts_Report'!$C$326,0)</f>
        <v>9568799</v>
      </c>
      <c r="D310" s="120">
        <f>ROUND(VLOOKUP(A310,'Contribution Allocation_Report'!$A$9:$D$311,4,FALSE)*'OPEB Amounts_Report'!$D$326,0)</f>
        <v>159157</v>
      </c>
      <c r="E310" s="120">
        <f>ROUND(VLOOKUP(A310,'Contribution Allocation_Report'!$A$9:$D$311,4,FALSE)*'OPEB Amounts_Report'!$E$326,0)</f>
        <v>131945</v>
      </c>
      <c r="F310" s="120">
        <f>ROUND(VLOOKUP(A310,'Contribution Allocation_Report'!$A$9:$D$311,4,FALSE)*'OPEB Amounts_Report'!$F$326,0)</f>
        <v>2041755</v>
      </c>
      <c r="G310" s="120">
        <f>INDEX('Change in Proportion Layers'!$AC$8:$AC$324,MATCH('OPEB Amounts_Report'!A310,'Change in Proportion Layers'!$A$8:$A$324,0))</f>
        <v>1017594</v>
      </c>
      <c r="H310" s="120">
        <f t="shared" si="13"/>
        <v>3350451</v>
      </c>
      <c r="I310" s="120"/>
      <c r="J310" s="120">
        <f>ROUND(VLOOKUP(A310,'Contribution Allocation_Report'!$A$9:$D$311,4,FALSE)*'OPEB Amounts_Report'!$J$326,0)</f>
        <v>1418299</v>
      </c>
      <c r="K310" s="120">
        <f>ROUND(VLOOKUP(A310,'Contribution Allocation_Report'!$A$9:$D$311,4,FALSE)*'OPEB Amounts_Report'!$K$326,0)</f>
        <v>7093243</v>
      </c>
      <c r="L310" s="130">
        <f>INDEX('Change in Proportion Layers'!$AD$8:$AD$324,MATCH('OPEB Amounts_Report'!A310,'Change in Proportion Layers'!$A$8:$A$324,0))</f>
        <v>755951</v>
      </c>
      <c r="M310" s="120">
        <f t="shared" si="12"/>
        <v>9267493</v>
      </c>
      <c r="N310" s="121"/>
      <c r="O310" s="121">
        <f>ROUND(VLOOKUP(A310,'Contribution Allocation_Report'!$A$9:$D$311,4,FALSE)*'OPEB Amounts_Report'!$O$326,0)</f>
        <v>-2013022</v>
      </c>
      <c r="P310" s="121">
        <f>INDEX('Change in Proportion Layers'!$AA$8:$AA$324,MATCH('OPEB Amounts_Report'!A310,'Change in Proportion Layers'!$A$8:$A$324,0))</f>
        <v>-294784</v>
      </c>
      <c r="Q310" s="121">
        <f t="shared" si="14"/>
        <v>-2307806</v>
      </c>
    </row>
    <row r="311" spans="1:17" ht="12" customHeight="1">
      <c r="A311" s="166">
        <v>2417</v>
      </c>
      <c r="B311" s="167" t="s">
        <v>294</v>
      </c>
      <c r="C311" s="122">
        <f>ROUND(VLOOKUP(A311,'Contribution Allocation_Report'!$A$9:$D$311,4,FALSE)*'OPEB Amounts_Report'!$C$326,0)</f>
        <v>202317</v>
      </c>
      <c r="D311" s="122">
        <f>ROUND(VLOOKUP(A311,'Contribution Allocation_Report'!$A$9:$D$311,4,FALSE)*'OPEB Amounts_Report'!$D$326,0)</f>
        <v>3365</v>
      </c>
      <c r="E311" s="122">
        <f>ROUND(VLOOKUP(A311,'Contribution Allocation_Report'!$A$9:$D$311,4,FALSE)*'OPEB Amounts_Report'!$E$326,0)</f>
        <v>2790</v>
      </c>
      <c r="F311" s="122">
        <f>ROUND(VLOOKUP(A311,'Contribution Allocation_Report'!$A$9:$D$311,4,FALSE)*'OPEB Amounts_Report'!$F$326,0)</f>
        <v>43170</v>
      </c>
      <c r="G311" s="122">
        <f>INDEX('Change in Proportion Layers'!$AC$8:$AC$324,MATCH('OPEB Amounts_Report'!A311,'Change in Proportion Layers'!$A$8:$A$324,0))</f>
        <v>49690</v>
      </c>
      <c r="H311" s="122">
        <f t="shared" si="13"/>
        <v>99015</v>
      </c>
      <c r="I311" s="122"/>
      <c r="J311" s="122">
        <f>ROUND(VLOOKUP(A311,'Contribution Allocation_Report'!$A$9:$D$311,4,FALSE)*'OPEB Amounts_Report'!$J$326,0)</f>
        <v>29988</v>
      </c>
      <c r="K311" s="122">
        <f>ROUND(VLOOKUP(A311,'Contribution Allocation_Report'!$A$9:$D$311,4,FALSE)*'OPEB Amounts_Report'!$K$326,0)</f>
        <v>149975</v>
      </c>
      <c r="L311" s="122">
        <f>INDEX('Change in Proportion Layers'!$AD$8:$AD$324,MATCH('OPEB Amounts_Report'!A311,'Change in Proportion Layers'!$A$8:$A$324,0))</f>
        <v>6141</v>
      </c>
      <c r="M311" s="122">
        <f t="shared" si="12"/>
        <v>186104</v>
      </c>
      <c r="N311" s="123"/>
      <c r="O311" s="123">
        <f>ROUND(VLOOKUP(A311,'Contribution Allocation_Report'!$A$9:$D$311,4,FALSE)*'OPEB Amounts_Report'!$O$326,0)</f>
        <v>-42562</v>
      </c>
      <c r="P311" s="123">
        <f>INDEX('Change in Proportion Layers'!$AA$8:$AA$324,MATCH('OPEB Amounts_Report'!A311,'Change in Proportion Layers'!$A$8:$A$324,0))</f>
        <v>15463</v>
      </c>
      <c r="Q311" s="123">
        <f t="shared" si="14"/>
        <v>-27099</v>
      </c>
    </row>
    <row r="312" spans="1:17" ht="12" customHeight="1">
      <c r="A312" s="164">
        <v>13142</v>
      </c>
      <c r="B312" s="168" t="s">
        <v>295</v>
      </c>
      <c r="C312" s="120">
        <f>ROUND(VLOOKUP(A312,'Contribution Allocation_Report'!$A$9:$D$311,4,FALSE)*'OPEB Amounts_Report'!$C$326,0)</f>
        <v>6042755</v>
      </c>
      <c r="D312" s="120">
        <f>ROUND(VLOOKUP(A312,'Contribution Allocation_Report'!$A$9:$D$311,4,FALSE)*'OPEB Amounts_Report'!$D$326,0)</f>
        <v>100509</v>
      </c>
      <c r="E312" s="120">
        <f>ROUND(VLOOKUP(A312,'Contribution Allocation_Report'!$A$9:$D$311,4,FALSE)*'OPEB Amounts_Report'!$E$326,0)</f>
        <v>83324</v>
      </c>
      <c r="F312" s="120">
        <f>ROUND(VLOOKUP(A312,'Contribution Allocation_Report'!$A$9:$D$311,4,FALSE)*'OPEB Amounts_Report'!$F$326,0)</f>
        <v>1289381</v>
      </c>
      <c r="G312" s="120">
        <f>INDEX('Change in Proportion Layers'!$AC$8:$AC$324,MATCH('OPEB Amounts_Report'!A312,'Change in Proportion Layers'!$A$8:$A$324,0))</f>
        <v>1188237</v>
      </c>
      <c r="H312" s="120">
        <f t="shared" si="13"/>
        <v>2661451</v>
      </c>
      <c r="I312" s="120"/>
      <c r="J312" s="120">
        <f>ROUND(VLOOKUP(A312,'Contribution Allocation_Report'!$A$9:$D$311,4,FALSE)*'OPEB Amounts_Report'!$J$326,0)</f>
        <v>895665</v>
      </c>
      <c r="K312" s="120">
        <f>ROUND(VLOOKUP(A312,'Contribution Allocation_Report'!$A$9:$D$311,4,FALSE)*'OPEB Amounts_Report'!$K$326,0)</f>
        <v>4479426</v>
      </c>
      <c r="L312" s="120">
        <f>INDEX('Change in Proportion Layers'!$AD$8:$AD$324,MATCH('OPEB Amounts_Report'!A312,'Change in Proportion Layers'!$A$8:$A$324,0))</f>
        <v>271827</v>
      </c>
      <c r="M312" s="120">
        <f t="shared" si="12"/>
        <v>5646918</v>
      </c>
      <c r="N312" s="121"/>
      <c r="O312" s="121">
        <f>ROUND(VLOOKUP(A312,'Contribution Allocation_Report'!$A$9:$D$311,4,FALSE)*'OPEB Amounts_Report'!$O$326,0)</f>
        <v>-1271236</v>
      </c>
      <c r="P312" s="121">
        <f>INDEX('Change in Proportion Layers'!$AA$8:$AA$324,MATCH('OPEB Amounts_Report'!A312,'Change in Proportion Layers'!$A$8:$A$324,0))</f>
        <v>142065</v>
      </c>
      <c r="Q312" s="121">
        <f t="shared" si="14"/>
        <v>-1129171</v>
      </c>
    </row>
    <row r="313" spans="1:17" ht="12" customHeight="1">
      <c r="A313" s="166">
        <v>4170</v>
      </c>
      <c r="B313" s="167" t="s">
        <v>537</v>
      </c>
      <c r="C313" s="122">
        <v>0</v>
      </c>
      <c r="D313" s="122">
        <v>0</v>
      </c>
      <c r="E313" s="122">
        <v>0</v>
      </c>
      <c r="F313" s="122">
        <v>0</v>
      </c>
      <c r="G313" s="122">
        <f>INDEX('Change in Proportion Layers'!$AC$8:$AC$324,MATCH('OPEB Amounts_Report'!A313,'Change in Proportion Layers'!$A$8:$A$324,0))</f>
        <v>18299</v>
      </c>
      <c r="H313" s="122">
        <f t="shared" si="13"/>
        <v>18299</v>
      </c>
      <c r="I313" s="122"/>
      <c r="J313" s="122">
        <v>0</v>
      </c>
      <c r="K313" s="122">
        <v>0</v>
      </c>
      <c r="L313" s="131">
        <f>INDEX('Change in Proportion Layers'!$AD$8:$AD$324,MATCH('OPEB Amounts_Report'!A313,'Change in Proportion Layers'!$A$8:$A$324,0))</f>
        <v>259480</v>
      </c>
      <c r="M313" s="122">
        <f t="shared" si="12"/>
        <v>259480</v>
      </c>
      <c r="N313" s="123"/>
      <c r="O313" s="123">
        <v>0</v>
      </c>
      <c r="P313" s="123">
        <f>INDEX('Change in Proportion Layers'!$AA$8:$AA$324,MATCH('OPEB Amounts_Report'!A313,'Change in Proportion Layers'!$A$8:$A$324,0))</f>
        <v>-57923</v>
      </c>
      <c r="Q313" s="123">
        <f t="shared" si="14"/>
        <v>-57923</v>
      </c>
    </row>
    <row r="314" spans="1:17" ht="12" customHeight="1">
      <c r="A314" s="164">
        <v>4215</v>
      </c>
      <c r="B314" s="168" t="s">
        <v>538</v>
      </c>
      <c r="C314" s="120">
        <v>0</v>
      </c>
      <c r="D314" s="120">
        <v>0</v>
      </c>
      <c r="E314" s="120">
        <v>0</v>
      </c>
      <c r="F314" s="120">
        <v>0</v>
      </c>
      <c r="G314" s="120">
        <f>INDEX('Change in Proportion Layers'!$AC$8:$AC$324,MATCH('OPEB Amounts_Report'!A314,'Change in Proportion Layers'!$A$8:$A$324,0))</f>
        <v>8193</v>
      </c>
      <c r="H314" s="120">
        <f t="shared" si="13"/>
        <v>8193</v>
      </c>
      <c r="I314" s="120"/>
      <c r="J314" s="120">
        <v>0</v>
      </c>
      <c r="K314" s="120">
        <v>0</v>
      </c>
      <c r="L314" s="130">
        <f>INDEX('Change in Proportion Layers'!$AD$8:$AD$324,MATCH('OPEB Amounts_Report'!A314,'Change in Proportion Layers'!$A$8:$A$324,0))</f>
        <v>350538</v>
      </c>
      <c r="M314" s="120">
        <f t="shared" si="12"/>
        <v>350538</v>
      </c>
      <c r="N314" s="121"/>
      <c r="O314" s="121">
        <v>0</v>
      </c>
      <c r="P314" s="121">
        <f>INDEX('Change in Proportion Layers'!$AA$8:$AA$324,MATCH('OPEB Amounts_Report'!A314,'Change in Proportion Layers'!$A$8:$A$324,0))</f>
        <v>-94541</v>
      </c>
      <c r="Q314" s="121">
        <f>+O314+P314</f>
        <v>-94541</v>
      </c>
    </row>
    <row r="315" spans="1:17" ht="12" customHeight="1">
      <c r="A315" s="166">
        <v>17334</v>
      </c>
      <c r="B315" s="167" t="s">
        <v>539</v>
      </c>
      <c r="C315" s="122">
        <v>0</v>
      </c>
      <c r="D315" s="122">
        <v>0</v>
      </c>
      <c r="E315" s="122">
        <v>0</v>
      </c>
      <c r="F315" s="122">
        <v>0</v>
      </c>
      <c r="G315" s="122">
        <f>INDEX('Change in Proportion Layers'!$AC$8:$AC$324,MATCH('OPEB Amounts_Report'!A315,'Change in Proportion Layers'!$A$8:$A$324,0))</f>
        <v>1610</v>
      </c>
      <c r="H315" s="122">
        <f t="shared" si="13"/>
        <v>1610</v>
      </c>
      <c r="I315" s="122"/>
      <c r="J315" s="122">
        <v>0</v>
      </c>
      <c r="K315" s="122">
        <v>0</v>
      </c>
      <c r="L315" s="122">
        <f>INDEX('Change in Proportion Layers'!$AD$8:$AD$324,MATCH('OPEB Amounts_Report'!A315,'Change in Proportion Layers'!$A$8:$A$324,0))</f>
        <v>110536</v>
      </c>
      <c r="M315" s="122">
        <f t="shared" si="12"/>
        <v>110536</v>
      </c>
      <c r="N315" s="123"/>
      <c r="O315" s="123">
        <v>0</v>
      </c>
      <c r="P315" s="123">
        <f>INDEX('Change in Proportion Layers'!$AA$8:$AA$324,MATCH('OPEB Amounts_Report'!A315,'Change in Proportion Layers'!$A$8:$A$324,0))</f>
        <v>-31515</v>
      </c>
      <c r="Q315" s="123">
        <f t="shared" si="14"/>
        <v>-31515</v>
      </c>
    </row>
    <row r="316" spans="1:17" ht="12" customHeight="1">
      <c r="A316" s="164">
        <v>2403</v>
      </c>
      <c r="B316" s="168" t="s">
        <v>540</v>
      </c>
      <c r="C316" s="120">
        <v>0</v>
      </c>
      <c r="D316" s="120">
        <v>0</v>
      </c>
      <c r="E316" s="120">
        <v>0</v>
      </c>
      <c r="F316" s="120">
        <v>0</v>
      </c>
      <c r="G316" s="120">
        <f>INDEX('Change in Proportion Layers'!$AC$8:$AC$324,MATCH('OPEB Amounts_Report'!A316,'Change in Proportion Layers'!$A$8:$A$324,0))</f>
        <v>53009</v>
      </c>
      <c r="H316" s="120">
        <f t="shared" si="13"/>
        <v>53009</v>
      </c>
      <c r="I316" s="120"/>
      <c r="J316" s="120">
        <v>0</v>
      </c>
      <c r="K316" s="120">
        <v>0</v>
      </c>
      <c r="L316" s="120">
        <f>INDEX('Change in Proportion Layers'!$AD$8:$AD$324,MATCH('OPEB Amounts_Report'!A316,'Change in Proportion Layers'!$A$8:$A$324,0))</f>
        <v>120446</v>
      </c>
      <c r="M316" s="120">
        <f t="shared" si="12"/>
        <v>120446</v>
      </c>
      <c r="N316" s="121"/>
      <c r="O316" s="121">
        <v>0</v>
      </c>
      <c r="P316" s="121">
        <f>INDEX('Change in Proportion Layers'!$AA$8:$AA$324,MATCH('OPEB Amounts_Report'!A316,'Change in Proportion Layers'!$A$8:$A$324,0))</f>
        <v>179</v>
      </c>
      <c r="Q316" s="121">
        <f t="shared" si="14"/>
        <v>179</v>
      </c>
    </row>
    <row r="317" spans="1:17" ht="12" customHeight="1">
      <c r="A317" s="166">
        <v>16358</v>
      </c>
      <c r="B317" s="167" t="s">
        <v>541</v>
      </c>
      <c r="C317" s="122">
        <v>0</v>
      </c>
      <c r="D317" s="122">
        <v>0</v>
      </c>
      <c r="E317" s="122">
        <v>0</v>
      </c>
      <c r="F317" s="122">
        <v>0</v>
      </c>
      <c r="G317" s="122">
        <f>INDEX('Change in Proportion Layers'!$AC$8:$AC$324,MATCH('OPEB Amounts_Report'!A317,'Change in Proportion Layers'!$A$8:$A$324,0))</f>
        <v>1050</v>
      </c>
      <c r="H317" s="122">
        <f t="shared" si="13"/>
        <v>1050</v>
      </c>
      <c r="I317" s="122"/>
      <c r="J317" s="122">
        <v>0</v>
      </c>
      <c r="K317" s="122">
        <v>0</v>
      </c>
      <c r="L317" s="131">
        <f>INDEX('Change in Proportion Layers'!$AD$8:$AD$324,MATCH('OPEB Amounts_Report'!A317,'Change in Proportion Layers'!$A$8:$A$324,0))</f>
        <v>310266</v>
      </c>
      <c r="M317" s="122">
        <f t="shared" si="12"/>
        <v>310266</v>
      </c>
      <c r="N317" s="123"/>
      <c r="O317" s="123">
        <v>0</v>
      </c>
      <c r="P317" s="123">
        <f>INDEX('Change in Proportion Layers'!$AA$8:$AA$324,MATCH('OPEB Amounts_Report'!A317,'Change in Proportion Layers'!$A$8:$A$324,0))</f>
        <v>-187729</v>
      </c>
      <c r="Q317" s="123">
        <f t="shared" si="14"/>
        <v>-187729</v>
      </c>
    </row>
    <row r="318" spans="1:17" ht="12" customHeight="1">
      <c r="A318" s="164">
        <v>2357</v>
      </c>
      <c r="B318" s="168" t="s">
        <v>542</v>
      </c>
      <c r="C318" s="120">
        <v>0</v>
      </c>
      <c r="D318" s="120">
        <v>0</v>
      </c>
      <c r="E318" s="120">
        <v>0</v>
      </c>
      <c r="F318" s="120">
        <v>0</v>
      </c>
      <c r="G318" s="120">
        <f>INDEX('Change in Proportion Layers'!$AC$8:$AC$324,MATCH('OPEB Amounts_Report'!A318,'Change in Proportion Layers'!$A$8:$A$324,0))</f>
        <v>0</v>
      </c>
      <c r="H318" s="120">
        <f t="shared" si="13"/>
        <v>0</v>
      </c>
      <c r="I318" s="120"/>
      <c r="J318" s="120">
        <v>0</v>
      </c>
      <c r="K318" s="120">
        <v>0</v>
      </c>
      <c r="L318" s="130">
        <f>INDEX('Change in Proportion Layers'!$AD$8:$AD$324,MATCH('OPEB Amounts_Report'!A318,'Change in Proportion Layers'!$A$8:$A$324,0))</f>
        <v>153945</v>
      </c>
      <c r="M318" s="120">
        <f t="shared" si="12"/>
        <v>153945</v>
      </c>
      <c r="N318" s="121"/>
      <c r="O318" s="121">
        <v>0</v>
      </c>
      <c r="P318" s="121">
        <f>INDEX('Change in Proportion Layers'!$AA$8:$AA$324,MATCH('OPEB Amounts_Report'!A318,'Change in Proportion Layers'!$A$8:$A$324,0))</f>
        <v>-101126</v>
      </c>
      <c r="Q318" s="121">
        <f t="shared" si="14"/>
        <v>-101126</v>
      </c>
    </row>
    <row r="319" spans="1:17" ht="12" customHeight="1">
      <c r="A319" s="166">
        <v>16357</v>
      </c>
      <c r="B319" s="167" t="s">
        <v>543</v>
      </c>
      <c r="C319" s="122">
        <v>0</v>
      </c>
      <c r="D319" s="122">
        <v>0</v>
      </c>
      <c r="E319" s="122">
        <v>0</v>
      </c>
      <c r="F319" s="122">
        <v>0</v>
      </c>
      <c r="G319" s="122">
        <f>INDEX('Change in Proportion Layers'!$AC$8:$AC$324,MATCH('OPEB Amounts_Report'!A319,'Change in Proportion Layers'!$A$8:$A$324,0))</f>
        <v>0</v>
      </c>
      <c r="H319" s="122">
        <f t="shared" si="13"/>
        <v>0</v>
      </c>
      <c r="I319" s="122"/>
      <c r="J319" s="122">
        <v>0</v>
      </c>
      <c r="K319" s="122">
        <v>0</v>
      </c>
      <c r="L319" s="122">
        <f>INDEX('Change in Proportion Layers'!$AD$8:$AD$324,MATCH('OPEB Amounts_Report'!A319,'Change in Proportion Layers'!$A$8:$A$324,0))</f>
        <v>235129</v>
      </c>
      <c r="M319" s="122">
        <f t="shared" si="12"/>
        <v>235129</v>
      </c>
      <c r="N319" s="123"/>
      <c r="O319" s="123">
        <v>0</v>
      </c>
      <c r="P319" s="123">
        <f>INDEX('Change in Proportion Layers'!$AA$8:$AA$324,MATCH('OPEB Amounts_Report'!A319,'Change in Proportion Layers'!$A$8:$A$324,0))</f>
        <v>-177304</v>
      </c>
      <c r="Q319" s="123">
        <f t="shared" si="14"/>
        <v>-177304</v>
      </c>
    </row>
    <row r="320" spans="1:17" ht="12" customHeight="1">
      <c r="A320" s="164">
        <v>7339</v>
      </c>
      <c r="B320" s="168" t="s">
        <v>544</v>
      </c>
      <c r="C320" s="120">
        <v>0</v>
      </c>
      <c r="D320" s="120">
        <v>0</v>
      </c>
      <c r="E320" s="120">
        <v>0</v>
      </c>
      <c r="F320" s="120">
        <v>0</v>
      </c>
      <c r="G320" s="120">
        <f>INDEX('Change in Proportion Layers'!$AC$8:$AC$324,MATCH('OPEB Amounts_Report'!A320,'Change in Proportion Layers'!$A$8:$A$324,0))</f>
        <v>0</v>
      </c>
      <c r="H320" s="120">
        <f t="shared" si="13"/>
        <v>0</v>
      </c>
      <c r="I320" s="120"/>
      <c r="J320" s="120">
        <v>0</v>
      </c>
      <c r="K320" s="120">
        <v>0</v>
      </c>
      <c r="L320" s="120">
        <f>INDEX('Change in Proportion Layers'!$AD$8:$AD$324,MATCH('OPEB Amounts_Report'!A320,'Change in Proportion Layers'!$A$8:$A$324,0))</f>
        <v>199257</v>
      </c>
      <c r="M320" s="120">
        <f t="shared" si="12"/>
        <v>199257</v>
      </c>
      <c r="N320" s="121"/>
      <c r="O320" s="121">
        <v>0</v>
      </c>
      <c r="P320" s="121">
        <f>INDEX('Change in Proportion Layers'!$AA$8:$AA$324,MATCH('OPEB Amounts_Report'!A320,'Change in Proportion Layers'!$A$8:$A$324,0))</f>
        <v>-126242</v>
      </c>
      <c r="Q320" s="121">
        <f t="shared" si="14"/>
        <v>-126242</v>
      </c>
    </row>
    <row r="321" spans="1:17" ht="12" customHeight="1">
      <c r="A321" s="166">
        <v>2344</v>
      </c>
      <c r="B321" s="167" t="s">
        <v>545</v>
      </c>
      <c r="C321" s="122">
        <v>0</v>
      </c>
      <c r="D321" s="122">
        <v>0</v>
      </c>
      <c r="E321" s="122">
        <v>0</v>
      </c>
      <c r="F321" s="122">
        <v>0</v>
      </c>
      <c r="G321" s="122">
        <f>INDEX('Change in Proportion Layers'!$AC$8:$AC$324,MATCH('OPEB Amounts_Report'!A321,'Change in Proportion Layers'!$A$8:$A$324,0))</f>
        <v>0</v>
      </c>
      <c r="H321" s="122">
        <f t="shared" si="13"/>
        <v>0</v>
      </c>
      <c r="I321" s="122"/>
      <c r="J321" s="122">
        <v>0</v>
      </c>
      <c r="K321" s="122">
        <v>0</v>
      </c>
      <c r="L321" s="122">
        <f>INDEX('Change in Proportion Layers'!$AD$8:$AD$324,MATCH('OPEB Amounts_Report'!A321,'Change in Proportion Layers'!$A$8:$A$324,0))</f>
        <v>317875</v>
      </c>
      <c r="M321" s="122">
        <f t="shared" si="12"/>
        <v>317875</v>
      </c>
      <c r="N321" s="123"/>
      <c r="O321" s="123">
        <v>0</v>
      </c>
      <c r="P321" s="123">
        <f>INDEX('Change in Proportion Layers'!$AA$8:$AA$324,MATCH('OPEB Amounts_Report'!A321,'Change in Proportion Layers'!$A$8:$A$324,0))</f>
        <v>-207195</v>
      </c>
      <c r="Q321" s="123">
        <f t="shared" si="14"/>
        <v>-207195</v>
      </c>
    </row>
    <row r="322" spans="1:17" ht="12" customHeight="1">
      <c r="A322" s="164">
        <v>2418</v>
      </c>
      <c r="B322" s="168" t="s">
        <v>546</v>
      </c>
      <c r="C322" s="120">
        <v>0</v>
      </c>
      <c r="D322" s="120">
        <v>0</v>
      </c>
      <c r="E322" s="120">
        <v>0</v>
      </c>
      <c r="F322" s="120">
        <v>0</v>
      </c>
      <c r="G322" s="120">
        <f>INDEX('Change in Proportion Layers'!$AC$8:$AC$324,MATCH('OPEB Amounts_Report'!A322,'Change in Proportion Layers'!$A$8:$A$324,0))</f>
        <v>0</v>
      </c>
      <c r="H322" s="120">
        <f t="shared" si="13"/>
        <v>0</v>
      </c>
      <c r="I322" s="120"/>
      <c r="J322" s="120">
        <v>0</v>
      </c>
      <c r="K322" s="120">
        <v>0</v>
      </c>
      <c r="L322" s="120">
        <f>INDEX('Change in Proportion Layers'!$AD$8:$AD$324,MATCH('OPEB Amounts_Report'!A322,'Change in Proportion Layers'!$A$8:$A$324,0))</f>
        <v>91034</v>
      </c>
      <c r="M322" s="120">
        <f t="shared" si="12"/>
        <v>91034</v>
      </c>
      <c r="N322" s="121"/>
      <c r="O322" s="121">
        <v>0</v>
      </c>
      <c r="P322" s="121">
        <f>INDEX('Change in Proportion Layers'!$AA$8:$AA$324,MATCH('OPEB Amounts_Report'!A322,'Change in Proportion Layers'!$A$8:$A$324,0))</f>
        <v>-126433</v>
      </c>
      <c r="Q322" s="121">
        <f t="shared" si="14"/>
        <v>-126433</v>
      </c>
    </row>
    <row r="323" spans="1:17" ht="12" customHeight="1">
      <c r="A323" s="166">
        <v>2345</v>
      </c>
      <c r="B323" s="167" t="s">
        <v>547</v>
      </c>
      <c r="C323" s="122">
        <v>0</v>
      </c>
      <c r="D323" s="122">
        <v>0</v>
      </c>
      <c r="E323" s="122">
        <v>0</v>
      </c>
      <c r="F323" s="122">
        <v>0</v>
      </c>
      <c r="G323" s="122">
        <f>INDEX('Change in Proportion Layers'!$AC$8:$AC$324,MATCH('OPEB Amounts_Report'!A323,'Change in Proportion Layers'!$A$8:$A$324,0))</f>
        <v>0</v>
      </c>
      <c r="H323" s="122">
        <f t="shared" si="13"/>
        <v>0</v>
      </c>
      <c r="I323" s="122"/>
      <c r="J323" s="122">
        <v>0</v>
      </c>
      <c r="K323" s="122">
        <v>0</v>
      </c>
      <c r="L323" s="131">
        <f>INDEX('Change in Proportion Layers'!$AD$8:$AD$324,MATCH('OPEB Amounts_Report'!A323,'Change in Proportion Layers'!$A$8:$A$324,0))</f>
        <v>78216</v>
      </c>
      <c r="M323" s="122">
        <f t="shared" si="12"/>
        <v>78216</v>
      </c>
      <c r="N323" s="123"/>
      <c r="O323" s="123">
        <v>0</v>
      </c>
      <c r="P323" s="123">
        <f>INDEX('Change in Proportion Layers'!$AA$8:$AA$324,MATCH('OPEB Amounts_Report'!A323,'Change in Proportion Layers'!$A$8:$A$324,0))</f>
        <v>-108636</v>
      </c>
      <c r="Q323" s="123">
        <f t="shared" si="14"/>
        <v>-108636</v>
      </c>
    </row>
    <row r="324" spans="1:17" ht="12" customHeight="1">
      <c r="A324" s="164">
        <v>13430</v>
      </c>
      <c r="B324" s="168" t="s">
        <v>548</v>
      </c>
      <c r="C324" s="120">
        <v>0</v>
      </c>
      <c r="D324" s="120">
        <v>0</v>
      </c>
      <c r="E324" s="120">
        <v>0</v>
      </c>
      <c r="F324" s="120">
        <v>0</v>
      </c>
      <c r="G324" s="120">
        <f>INDEX('Change in Proportion Layers'!$AC$8:$AC$324,MATCH('OPEB Amounts_Report'!A324,'Change in Proportion Layers'!$A$8:$A$324,0))</f>
        <v>0</v>
      </c>
      <c r="H324" s="120">
        <f t="shared" si="13"/>
        <v>0</v>
      </c>
      <c r="I324" s="120"/>
      <c r="J324" s="120">
        <v>0</v>
      </c>
      <c r="K324" s="120">
        <v>0</v>
      </c>
      <c r="L324" s="130">
        <f>INDEX('Change in Proportion Layers'!$AD$8:$AD$324,MATCH('OPEB Amounts_Report'!A324,'Change in Proportion Layers'!$A$8:$A$324,0))</f>
        <v>135846</v>
      </c>
      <c r="M324" s="120">
        <f t="shared" si="12"/>
        <v>135846</v>
      </c>
      <c r="N324" s="121"/>
      <c r="O324" s="121">
        <v>0</v>
      </c>
      <c r="P324" s="121">
        <f>INDEX('Change in Proportion Layers'!$AA$8:$AA$324,MATCH('OPEB Amounts_Report'!A324,'Change in Proportion Layers'!$A$8:$A$324,0))</f>
        <v>-188678</v>
      </c>
      <c r="Q324" s="121">
        <f t="shared" si="14"/>
        <v>-188678</v>
      </c>
    </row>
    <row r="325" spans="1:17" ht="6.6" customHeight="1">
      <c r="A325" s="169"/>
      <c r="B325" s="155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5"/>
      <c r="O325" s="155"/>
      <c r="P325" s="155"/>
      <c r="Q325" s="155"/>
    </row>
    <row r="326" spans="1:17" ht="13.5" customHeight="1" thickBot="1">
      <c r="A326" s="170"/>
      <c r="B326" s="171"/>
      <c r="C326" s="172">
        <v>2311603052</v>
      </c>
      <c r="D326" s="172">
        <v>38448759</v>
      </c>
      <c r="E326" s="172">
        <v>31874838</v>
      </c>
      <c r="F326" s="172">
        <v>493241283</v>
      </c>
      <c r="G326" s="172">
        <f>SUM(G10:G324)</f>
        <v>179831774</v>
      </c>
      <c r="H326" s="172">
        <f>SUM(H10:H324)</f>
        <v>743396654</v>
      </c>
      <c r="I326" s="172"/>
      <c r="J326" s="172">
        <v>342628674</v>
      </c>
      <c r="K326" s="172">
        <v>1713565292</v>
      </c>
      <c r="L326" s="172">
        <f>SUM(L10:L324)</f>
        <v>179831774</v>
      </c>
      <c r="M326" s="172">
        <f>SUM(M10:M324)</f>
        <v>2236025740</v>
      </c>
      <c r="N326" s="172"/>
      <c r="O326" s="172">
        <v>-486300099</v>
      </c>
      <c r="P326" s="172">
        <f>SUM(P10:P324)</f>
        <v>0</v>
      </c>
      <c r="Q326" s="172">
        <f>SUM(Q10:Q324)</f>
        <v>-486300099</v>
      </c>
    </row>
    <row r="327" spans="1:17" ht="13.5" customHeight="1" thickTop="1">
      <c r="A327" s="173" t="s">
        <v>549</v>
      </c>
      <c r="B327" s="174"/>
      <c r="C327" s="175"/>
      <c r="D327" s="175"/>
      <c r="E327" s="175"/>
      <c r="F327" s="175"/>
      <c r="G327" s="175"/>
      <c r="H327" s="175"/>
      <c r="I327" s="175"/>
      <c r="J327" s="175"/>
      <c r="K327" s="175"/>
      <c r="L327" s="175"/>
      <c r="M327" s="175"/>
      <c r="N327" s="175"/>
      <c r="O327" s="175"/>
      <c r="P327" s="175"/>
      <c r="Q327" s="175"/>
    </row>
    <row r="328" spans="1:17" ht="12" customHeight="1">
      <c r="A328" s="173" t="s">
        <v>550</v>
      </c>
      <c r="B328" s="148"/>
      <c r="C328" s="175"/>
      <c r="D328" s="175"/>
      <c r="E328" s="175"/>
      <c r="F328" s="175"/>
      <c r="G328" s="175"/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</row>
    <row r="329" spans="1:17" ht="12" customHeight="1">
      <c r="A329" s="173" t="s">
        <v>551</v>
      </c>
    </row>
    <row r="330" spans="1:17" ht="12" customHeight="1">
      <c r="A330" s="173" t="s">
        <v>552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7" ht="12" customHeight="1">
      <c r="C331" s="7">
        <f t="shared" ref="C331:Q331" si="15">SUM(C10:C324)-C326</f>
        <v>0</v>
      </c>
      <c r="D331" s="7">
        <f t="shared" si="15"/>
        <v>0</v>
      </c>
      <c r="E331" s="7">
        <f t="shared" si="15"/>
        <v>0</v>
      </c>
      <c r="F331" s="176">
        <f t="shared" si="15"/>
        <v>0</v>
      </c>
      <c r="G331" s="7">
        <f t="shared" si="15"/>
        <v>0</v>
      </c>
      <c r="H331" s="7">
        <f t="shared" si="15"/>
        <v>0</v>
      </c>
      <c r="I331" s="7">
        <f t="shared" si="15"/>
        <v>0</v>
      </c>
      <c r="J331" s="7">
        <f t="shared" si="15"/>
        <v>0</v>
      </c>
      <c r="K331" s="7">
        <f t="shared" si="15"/>
        <v>0</v>
      </c>
      <c r="L331" s="7">
        <f t="shared" si="15"/>
        <v>0</v>
      </c>
      <c r="M331" s="7">
        <f t="shared" si="15"/>
        <v>0</v>
      </c>
      <c r="N331" s="7">
        <f t="shared" si="15"/>
        <v>0</v>
      </c>
      <c r="O331" s="7">
        <f t="shared" si="15"/>
        <v>0</v>
      </c>
      <c r="P331" s="7">
        <f t="shared" si="15"/>
        <v>0</v>
      </c>
      <c r="Q331" s="7">
        <f t="shared" si="15"/>
        <v>0</v>
      </c>
    </row>
    <row r="333" spans="1:17" ht="12" customHeight="1">
      <c r="O333" s="69"/>
    </row>
    <row r="334" spans="1:17" ht="12" customHeight="1">
      <c r="M334" s="39"/>
    </row>
    <row r="335" spans="1:17" ht="12" customHeight="1">
      <c r="M335" s="47"/>
    </row>
    <row r="336" spans="1:17" ht="12" customHeight="1">
      <c r="M336" s="129"/>
    </row>
  </sheetData>
  <mergeCells count="6">
    <mergeCell ref="A1:Q1"/>
    <mergeCell ref="A2:Q2"/>
    <mergeCell ref="A3:Q3"/>
    <mergeCell ref="D6:H6"/>
    <mergeCell ref="J6:M6"/>
    <mergeCell ref="O6:Q6"/>
  </mergeCells>
  <printOptions horizontalCentered="1"/>
  <pageMargins left="0.7" right="0.7" top="0.5" bottom="0.5" header="0.5" footer="0.5"/>
  <pageSetup scale="52" firstPageNumber="9" fitToHeight="0" orientation="landscape" useFirstPageNumber="1" r:id="rId1"/>
  <headerFooter scaleWithDoc="0">
    <oddFooter>&amp;C&amp;"Arial,Regular"&amp;10&amp;P</oddFooter>
    <evenFooter>&amp;R&amp;"Arial,Regular"&amp;10&amp;P</evenFooter>
  </headerFooter>
  <rowBreaks count="6" manualBreakCount="6">
    <brk id="57" max="16" man="1"/>
    <brk id="105" max="16" man="1"/>
    <brk id="153" max="16" man="1"/>
    <brk id="201" max="16" man="1"/>
    <brk id="249" max="16" man="1"/>
    <brk id="29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B18E-B300-452F-B5B7-96E4B2180ECD}">
  <sheetPr>
    <tabColor rgb="FF92D050"/>
  </sheetPr>
  <dimension ref="A1:Q332"/>
  <sheetViews>
    <sheetView view="pageBreakPreview" topLeftCell="D13" zoomScaleNormal="100" zoomScaleSheetLayoutView="100" workbookViewId="0">
      <selection activeCell="A234" sqref="A234:XFD234"/>
    </sheetView>
  </sheetViews>
  <sheetFormatPr defaultColWidth="8.7109375" defaultRowHeight="12" customHeight="1"/>
  <cols>
    <col min="1" max="1" width="10" style="132" customWidth="1"/>
    <col min="2" max="2" width="57.28515625" style="132" customWidth="1"/>
    <col min="3" max="3" width="14.28515625" style="132" bestFit="1" customWidth="1"/>
    <col min="4" max="4" width="12.42578125" style="132" customWidth="1"/>
    <col min="5" max="7" width="13.7109375" style="132" customWidth="1"/>
    <col min="8" max="8" width="1" style="132" customWidth="1"/>
    <col min="9" max="10" width="11.7109375" style="132" customWidth="1"/>
    <col min="11" max="11" width="12.7109375" style="132" customWidth="1"/>
    <col min="12" max="12" width="11.7109375" style="132" customWidth="1"/>
    <col min="13" max="13" width="13.5703125" style="132" customWidth="1"/>
    <col min="14" max="14" width="0.7109375" style="132" customWidth="1"/>
    <col min="15" max="15" width="13.5703125" style="132" customWidth="1"/>
    <col min="16" max="16" width="11.7109375" style="132" customWidth="1"/>
    <col min="17" max="17" width="12.28515625" style="132" bestFit="1" customWidth="1"/>
    <col min="18" max="16384" width="8.7109375" style="132"/>
  </cols>
  <sheetData>
    <row r="1" spans="1:17" ht="15" customHeight="1">
      <c r="A1" s="257" t="s">
        <v>391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5" customHeight="1">
      <c r="A2" s="258" t="s">
        <v>393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15" customHeight="1">
      <c r="A3" s="258" t="s">
        <v>588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7" ht="15" customHeight="1"/>
    <row r="6" spans="1:17" ht="12" customHeight="1">
      <c r="A6" s="155"/>
      <c r="B6" s="155"/>
      <c r="C6" s="156"/>
      <c r="D6" s="259" t="s">
        <v>376</v>
      </c>
      <c r="E6" s="259"/>
      <c r="F6" s="259"/>
      <c r="G6" s="259"/>
      <c r="H6" s="156"/>
      <c r="I6" s="259" t="s">
        <v>296</v>
      </c>
      <c r="J6" s="259"/>
      <c r="K6" s="259"/>
      <c r="L6" s="259"/>
      <c r="M6" s="259"/>
      <c r="N6" s="155"/>
      <c r="O6" s="259" t="s">
        <v>397</v>
      </c>
      <c r="P6" s="259"/>
      <c r="Q6" s="259"/>
    </row>
    <row r="7" spans="1:17" ht="90.75" customHeight="1">
      <c r="A7" s="157" t="s">
        <v>0</v>
      </c>
      <c r="B7" s="157" t="s">
        <v>1</v>
      </c>
      <c r="C7" s="157" t="s">
        <v>589</v>
      </c>
      <c r="D7" s="157" t="s">
        <v>297</v>
      </c>
      <c r="E7" s="157" t="s">
        <v>299</v>
      </c>
      <c r="F7" s="159" t="s">
        <v>377</v>
      </c>
      <c r="G7" s="159" t="s">
        <v>378</v>
      </c>
      <c r="H7" s="157"/>
      <c r="I7" s="157" t="s">
        <v>297</v>
      </c>
      <c r="J7" s="157" t="s">
        <v>298</v>
      </c>
      <c r="K7" s="157" t="s">
        <v>299</v>
      </c>
      <c r="L7" s="157" t="s">
        <v>377</v>
      </c>
      <c r="M7" s="157" t="s">
        <v>300</v>
      </c>
      <c r="N7" s="157"/>
      <c r="O7" s="157" t="s">
        <v>399</v>
      </c>
      <c r="P7" s="157" t="s">
        <v>390</v>
      </c>
      <c r="Q7" s="157" t="s">
        <v>398</v>
      </c>
    </row>
    <row r="8" spans="1:17" ht="12" customHeight="1">
      <c r="A8" s="160"/>
      <c r="B8" s="161"/>
      <c r="C8" s="161">
        <v>3</v>
      </c>
      <c r="D8" s="161">
        <v>4</v>
      </c>
      <c r="E8" s="161">
        <v>5</v>
      </c>
      <c r="F8" s="162">
        <v>6</v>
      </c>
      <c r="G8" s="162">
        <v>7</v>
      </c>
      <c r="H8" s="162"/>
      <c r="I8" s="161">
        <v>8</v>
      </c>
      <c r="J8" s="161">
        <v>9</v>
      </c>
      <c r="K8" s="161">
        <v>10</v>
      </c>
      <c r="L8" s="161">
        <v>11</v>
      </c>
      <c r="M8" s="161">
        <v>12</v>
      </c>
      <c r="N8" s="161"/>
      <c r="O8" s="161">
        <v>13</v>
      </c>
      <c r="P8" s="161">
        <v>14</v>
      </c>
      <c r="Q8" s="161">
        <v>15</v>
      </c>
    </row>
    <row r="9" spans="1:17" ht="12" customHeight="1">
      <c r="A9" s="163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</row>
    <row r="10" spans="1:17" ht="12" customHeight="1">
      <c r="A10" s="164">
        <v>1341</v>
      </c>
      <c r="B10" s="165" t="s">
        <v>5</v>
      </c>
      <c r="C10" s="126">
        <f>ROUND(VLOOKUP(A10,'[2]Contribution Allocation_Report'!$A$9:$D$310,4,FALSE)*'PY_OPEB Amounts'!$C$323,0)-4</f>
        <v>793747857</v>
      </c>
      <c r="D10" s="126">
        <f>ROUND(VLOOKUP(A10,'[2]Contribution Allocation_Report'!$A$9:$D$310,4,FALSE)*'PY_OPEB Amounts'!$D$323,0)</f>
        <v>11605640</v>
      </c>
      <c r="E10" s="126">
        <f>ROUND(VLOOKUP(A10,'[2]Contribution Allocation_Report'!$A$9:$D$310,4,FALSE)*'PY_OPEB Amounts'!$E$323,0)+7</f>
        <v>158915678</v>
      </c>
      <c r="F10" s="126">
        <f>INDEX('[2]Change in Proportion Layers'!$Z$8:$Z$321,MATCH('PY_OPEB Amounts'!A10,'[2]Change in Proportion Layers'!$A$8:$A$321,0))</f>
        <v>6519527</v>
      </c>
      <c r="G10" s="126">
        <f>SUM(D10:F10)</f>
        <v>177040845</v>
      </c>
      <c r="H10" s="126"/>
      <c r="I10" s="126">
        <f>ROUND(VLOOKUP(A10,'[2]Contribution Allocation_Report'!$A$9:$D$310,4,FALSE)*'PY_OPEB Amounts'!$I$323,0)+1</f>
        <v>126586276</v>
      </c>
      <c r="J10" s="126">
        <f>ROUND(VLOOKUP(A10,'[2]Contribution Allocation_Report'!$A$9:$D$310,4,FALSE)*'PY_OPEB Amounts'!$J$323,0)</f>
        <v>22752111</v>
      </c>
      <c r="K10" s="126">
        <f>ROUND(VLOOKUP(A10,'[2]Contribution Allocation_Report'!$A$9:$D$310,4,FALSE)*'PY_OPEB Amounts'!$K$323,0)-10</f>
        <v>286967981</v>
      </c>
      <c r="L10" s="128">
        <f>INDEX('[2]Change in Proportion Layers'!$AA$8:$AA$321,MATCH('PY_OPEB Amounts'!A10,'[2]Change in Proportion Layers'!$A$8:$A$321,0))</f>
        <v>6887129</v>
      </c>
      <c r="M10" s="126">
        <f t="shared" ref="M10:M74" si="0">SUM(I10:L10)</f>
        <v>443193497</v>
      </c>
      <c r="N10" s="127"/>
      <c r="O10" s="127">
        <f>ROUND(VLOOKUP(A10,'[2]Contribution Allocation_Report'!$A$9:$D$310,4,FALSE)*'PY_OPEB Amounts'!$O$323,0)-6</f>
        <v>-85480009</v>
      </c>
      <c r="P10" s="127">
        <f>INDEX('[2]Change in Proportion Layers'!$X$8:$X$321,MATCH('PY_OPEB Amounts'!A10,'[2]Change in Proportion Layers'!$A$8:$A$321,0))</f>
        <v>79442</v>
      </c>
      <c r="Q10" s="127">
        <f>+O10+P10</f>
        <v>-85400567</v>
      </c>
    </row>
    <row r="11" spans="1:17" ht="12" customHeight="1">
      <c r="A11" s="166">
        <v>2308</v>
      </c>
      <c r="B11" s="167" t="s">
        <v>6</v>
      </c>
      <c r="C11" s="122">
        <f>ROUND(VLOOKUP(A11,'[2]Contribution Allocation_Report'!$A$9:$D$310,4,FALSE)*'PY_OPEB Amounts'!$C$323,0)</f>
        <v>1237830</v>
      </c>
      <c r="D11" s="122">
        <f>ROUND(VLOOKUP(A11,'[2]Contribution Allocation_Report'!$A$9:$D$310,4,FALSE)*'PY_OPEB Amounts'!$D$323,0)</f>
        <v>18099</v>
      </c>
      <c r="E11" s="122">
        <f>ROUND(VLOOKUP(A11,'[2]Contribution Allocation_Report'!$A$9:$D$310,4,FALSE)*'PY_OPEB Amounts'!$E$323,0)</f>
        <v>247825</v>
      </c>
      <c r="F11" s="122">
        <f>INDEX('[2]Change in Proportion Layers'!$Z$8:$Z$321,MATCH('PY_OPEB Amounts'!A11,'[2]Change in Proportion Layers'!$A$8:$A$321,0))</f>
        <v>403809</v>
      </c>
      <c r="G11" s="122">
        <f t="shared" ref="G11:G74" si="1">SUM(D11:F11)</f>
        <v>669733</v>
      </c>
      <c r="H11" s="122"/>
      <c r="I11" s="122">
        <f>ROUND(VLOOKUP(A11,'[2]Contribution Allocation_Report'!$A$9:$D$310,4,FALSE)*'PY_OPEB Amounts'!$I$323,0)</f>
        <v>197408</v>
      </c>
      <c r="J11" s="122">
        <f>ROUND(VLOOKUP(A11,'[2]Contribution Allocation_Report'!$A$9:$D$310,4,FALSE)*'PY_OPEB Amounts'!$J$323,0)</f>
        <v>35481</v>
      </c>
      <c r="K11" s="122">
        <f>ROUND(VLOOKUP(A11,'[2]Contribution Allocation_Report'!$A$9:$D$310,4,FALSE)*'PY_OPEB Amounts'!$K$323,0)</f>
        <v>447519</v>
      </c>
      <c r="L11" s="122">
        <f>INDEX('[2]Change in Proportion Layers'!$AA$8:$AA$321,MATCH('PY_OPEB Amounts'!A11,'[2]Change in Proportion Layers'!$A$8:$A$321,0))</f>
        <v>32577</v>
      </c>
      <c r="M11" s="122">
        <f t="shared" si="0"/>
        <v>712985</v>
      </c>
      <c r="N11" s="123"/>
      <c r="O11" s="123">
        <f>ROUND(VLOOKUP(A11,'[2]Contribution Allocation_Report'!$A$9:$D$310,4,FALSE)*'PY_OPEB Amounts'!$O$323,0)</f>
        <v>-133304</v>
      </c>
      <c r="P11" s="123">
        <f>INDEX('[2]Change in Proportion Layers'!$X$8:$X$321,MATCH('PY_OPEB Amounts'!A11,'[2]Change in Proportion Layers'!$A$8:$A$321,0))</f>
        <v>87828</v>
      </c>
      <c r="Q11" s="123">
        <f t="shared" ref="Q11:Q74" si="2">+O11+P11</f>
        <v>-45476</v>
      </c>
    </row>
    <row r="12" spans="1:17" ht="12" customHeight="1">
      <c r="A12" s="164">
        <v>2340</v>
      </c>
      <c r="B12" s="168" t="s">
        <v>7</v>
      </c>
      <c r="C12" s="120">
        <f>ROUND(VLOOKUP(A12,'[2]Contribution Allocation_Report'!$A$9:$D$310,4,FALSE)*'PY_OPEB Amounts'!$C$323,0)</f>
        <v>1331934</v>
      </c>
      <c r="D12" s="120">
        <f>ROUND(VLOOKUP(A12,'[2]Contribution Allocation_Report'!$A$9:$D$310,4,FALSE)*'PY_OPEB Amounts'!$D$323,0)</f>
        <v>19475</v>
      </c>
      <c r="E12" s="120">
        <f>ROUND(VLOOKUP(A12,'[2]Contribution Allocation_Report'!$A$9:$D$310,4,FALSE)*'PY_OPEB Amounts'!$E$323,0)</f>
        <v>266665</v>
      </c>
      <c r="F12" s="120">
        <f>INDEX('[2]Change in Proportion Layers'!$Z$8:$Z$321,MATCH('PY_OPEB Amounts'!A12,'[2]Change in Proportion Layers'!$A$8:$A$321,0))</f>
        <v>47841</v>
      </c>
      <c r="G12" s="120">
        <f t="shared" si="1"/>
        <v>333981</v>
      </c>
      <c r="H12" s="120"/>
      <c r="I12" s="120">
        <f>ROUND(VLOOKUP(A12,'[2]Contribution Allocation_Report'!$A$9:$D$310,4,FALSE)*'PY_OPEB Amounts'!$I$323,0)</f>
        <v>212416</v>
      </c>
      <c r="J12" s="120">
        <f>ROUND(VLOOKUP(A12,'[2]Contribution Allocation_Report'!$A$9:$D$310,4,FALSE)*'PY_OPEB Amounts'!$J$323,0)</f>
        <v>38179</v>
      </c>
      <c r="K12" s="120">
        <f>ROUND(VLOOKUP(A12,'[2]Contribution Allocation_Report'!$A$9:$D$310,4,FALSE)*'PY_OPEB Amounts'!$K$323,0)</f>
        <v>481541</v>
      </c>
      <c r="L12" s="120">
        <f>INDEX('[2]Change in Proportion Layers'!$AA$8:$AA$321,MATCH('PY_OPEB Amounts'!A12,'[2]Change in Proportion Layers'!$A$8:$A$321,0))</f>
        <v>61160</v>
      </c>
      <c r="M12" s="120">
        <f t="shared" si="0"/>
        <v>793296</v>
      </c>
      <c r="N12" s="121"/>
      <c r="O12" s="121">
        <f>ROUND(VLOOKUP(A12,'[2]Contribution Allocation_Report'!$A$9:$D$310,4,FALSE)*'PY_OPEB Amounts'!$O$323,0)</f>
        <v>-143438</v>
      </c>
      <c r="P12" s="121">
        <f>INDEX('[2]Change in Proportion Layers'!$X$8:$X$321,MATCH('PY_OPEB Amounts'!A12,'[2]Change in Proportion Layers'!$A$8:$A$321,0))</f>
        <v>-6331</v>
      </c>
      <c r="Q12" s="121">
        <f t="shared" si="2"/>
        <v>-149769</v>
      </c>
    </row>
    <row r="13" spans="1:17" ht="12" customHeight="1">
      <c r="A13" s="166">
        <v>1301</v>
      </c>
      <c r="B13" s="167" t="s">
        <v>8</v>
      </c>
      <c r="C13" s="122">
        <f>ROUND(VLOOKUP(A13,'[2]Contribution Allocation_Report'!$A$9:$D$310,4,FALSE)*'PY_OPEB Amounts'!$C$323,0)</f>
        <v>1572787</v>
      </c>
      <c r="D13" s="122">
        <f>ROUND(VLOOKUP(A13,'[2]Contribution Allocation_Report'!$A$9:$D$310,4,FALSE)*'PY_OPEB Amounts'!$D$323,0)</f>
        <v>22996</v>
      </c>
      <c r="E13" s="122">
        <f>ROUND(VLOOKUP(A13,'[2]Contribution Allocation_Report'!$A$9:$D$310,4,FALSE)*'PY_OPEB Amounts'!$E$323,0)</f>
        <v>314887</v>
      </c>
      <c r="F13" s="122">
        <f>INDEX('[2]Change in Proportion Layers'!$Z$8:$Z$321,MATCH('PY_OPEB Amounts'!A13,'[2]Change in Proportion Layers'!$A$8:$A$321,0))</f>
        <v>288060</v>
      </c>
      <c r="G13" s="122">
        <f t="shared" si="1"/>
        <v>625943</v>
      </c>
      <c r="H13" s="122"/>
      <c r="I13" s="122">
        <f>ROUND(VLOOKUP(A13,'[2]Contribution Allocation_Report'!$A$9:$D$310,4,FALSE)*'PY_OPEB Amounts'!$I$323,0)</f>
        <v>250827</v>
      </c>
      <c r="J13" s="122">
        <f>ROUND(VLOOKUP(A13,'[2]Contribution Allocation_Report'!$A$9:$D$310,4,FALSE)*'PY_OPEB Amounts'!$J$323,0)</f>
        <v>45083</v>
      </c>
      <c r="K13" s="122">
        <f>ROUND(VLOOKUP(A13,'[2]Contribution Allocation_Report'!$A$9:$D$310,4,FALSE)*'PY_OPEB Amounts'!$K$323,0)</f>
        <v>568618</v>
      </c>
      <c r="L13" s="122">
        <f>INDEX('[2]Change in Proportion Layers'!$AA$8:$AA$321,MATCH('PY_OPEB Amounts'!A13,'[2]Change in Proportion Layers'!$A$8:$A$321,0))</f>
        <v>26765</v>
      </c>
      <c r="M13" s="122">
        <f t="shared" si="0"/>
        <v>891293</v>
      </c>
      <c r="N13" s="123"/>
      <c r="O13" s="123">
        <f>ROUND(VLOOKUP(A13,'[2]Contribution Allocation_Report'!$A$9:$D$310,4,FALSE)*'PY_OPEB Amounts'!$O$323,0)</f>
        <v>-169376</v>
      </c>
      <c r="P13" s="123">
        <f>INDEX('[2]Change in Proportion Layers'!$X$8:$X$321,MATCH('PY_OPEB Amounts'!A13,'[2]Change in Proportion Layers'!$A$8:$A$321,0))</f>
        <v>56387</v>
      </c>
      <c r="Q13" s="123">
        <f t="shared" si="2"/>
        <v>-112989</v>
      </c>
    </row>
    <row r="14" spans="1:17" ht="12" customHeight="1">
      <c r="A14" s="164">
        <v>2390</v>
      </c>
      <c r="B14" s="168" t="s">
        <v>9</v>
      </c>
      <c r="C14" s="120">
        <f>ROUND(VLOOKUP(A14,'[2]Contribution Allocation_Report'!$A$9:$D$310,4,FALSE)*'PY_OPEB Amounts'!$C$323,0)</f>
        <v>1064428</v>
      </c>
      <c r="D14" s="120">
        <f>ROUND(VLOOKUP(A14,'[2]Contribution Allocation_Report'!$A$9:$D$310,4,FALSE)*'PY_OPEB Amounts'!$D$323,0)</f>
        <v>15563</v>
      </c>
      <c r="E14" s="120">
        <f>ROUND(VLOOKUP(A14,'[2]Contribution Allocation_Report'!$A$9:$D$310,4,FALSE)*'PY_OPEB Amounts'!$E$323,0)</f>
        <v>213108</v>
      </c>
      <c r="F14" s="120">
        <f>INDEX('[2]Change in Proportion Layers'!$Z$8:$Z$321,MATCH('PY_OPEB Amounts'!A14,'[2]Change in Proportion Layers'!$A$8:$A$321,0))</f>
        <v>90345</v>
      </c>
      <c r="G14" s="120">
        <f t="shared" si="1"/>
        <v>319016</v>
      </c>
      <c r="H14" s="120"/>
      <c r="I14" s="120">
        <f>ROUND(VLOOKUP(A14,'[2]Contribution Allocation_Report'!$A$9:$D$310,4,FALSE)*'PY_OPEB Amounts'!$I$323,0)</f>
        <v>169754</v>
      </c>
      <c r="J14" s="120">
        <f>ROUND(VLOOKUP(A14,'[2]Contribution Allocation_Report'!$A$9:$D$310,4,FALSE)*'PY_OPEB Amounts'!$J$323,0)</f>
        <v>30511</v>
      </c>
      <c r="K14" s="120">
        <f>ROUND(VLOOKUP(A14,'[2]Contribution Allocation_Report'!$A$9:$D$310,4,FALSE)*'PY_OPEB Amounts'!$K$323,0)</f>
        <v>384829</v>
      </c>
      <c r="L14" s="120">
        <f>INDEX('[2]Change in Proportion Layers'!$AA$8:$AA$321,MATCH('PY_OPEB Amounts'!A14,'[2]Change in Proportion Layers'!$A$8:$A$321,0))</f>
        <v>283704</v>
      </c>
      <c r="M14" s="120">
        <f t="shared" si="0"/>
        <v>868798</v>
      </c>
      <c r="N14" s="121"/>
      <c r="O14" s="121">
        <f>ROUND(VLOOKUP(A14,'[2]Contribution Allocation_Report'!$A$9:$D$310,4,FALSE)*'PY_OPEB Amounts'!$O$323,0)</f>
        <v>-114630</v>
      </c>
      <c r="P14" s="121">
        <f>INDEX('[2]Change in Proportion Layers'!$X$8:$X$321,MATCH('PY_OPEB Amounts'!A14,'[2]Change in Proportion Layers'!$A$8:$A$321,0))</f>
        <v>-83484</v>
      </c>
      <c r="Q14" s="121">
        <f t="shared" si="2"/>
        <v>-198114</v>
      </c>
    </row>
    <row r="15" spans="1:17" ht="12" customHeight="1">
      <c r="A15" s="166">
        <v>2441</v>
      </c>
      <c r="B15" s="167" t="s">
        <v>437</v>
      </c>
      <c r="C15" s="122">
        <f>ROUND(VLOOKUP(A15,'[2]Contribution Allocation_Report'!$A$9:$D$310,4,FALSE)*'PY_OPEB Amounts'!$C$323,0)</f>
        <v>266189</v>
      </c>
      <c r="D15" s="122">
        <f>ROUND(VLOOKUP(A15,'[2]Contribution Allocation_Report'!$A$9:$D$310,4,FALSE)*'PY_OPEB Amounts'!$D$323,0)</f>
        <v>3892</v>
      </c>
      <c r="E15" s="122">
        <f>ROUND(VLOOKUP(A15,'[2]Contribution Allocation_Report'!$A$9:$D$310,4,FALSE)*'PY_OPEB Amounts'!$E$323,0)</f>
        <v>53294</v>
      </c>
      <c r="F15" s="122">
        <f>INDEX('[2]Change in Proportion Layers'!$Z$8:$Z$321,MATCH('PY_OPEB Amounts'!A15,'[2]Change in Proportion Layers'!$A$8:$A$321,0))</f>
        <v>326292</v>
      </c>
      <c r="G15" s="122">
        <f t="shared" si="1"/>
        <v>383478</v>
      </c>
      <c r="H15" s="122"/>
      <c r="I15" s="122">
        <f>ROUND(VLOOKUP(A15,'[2]Contribution Allocation_Report'!$A$9:$D$310,4,FALSE)*'PY_OPEB Amounts'!$I$323,0)</f>
        <v>42452</v>
      </c>
      <c r="J15" s="122">
        <f>ROUND(VLOOKUP(A15,'[2]Contribution Allocation_Report'!$A$9:$D$310,4,FALSE)*'PY_OPEB Amounts'!$J$323,0)</f>
        <v>7630</v>
      </c>
      <c r="K15" s="122">
        <f>ROUND(VLOOKUP(A15,'[2]Contribution Allocation_Report'!$A$9:$D$310,4,FALSE)*'PY_OPEB Amounts'!$K$323,0)</f>
        <v>96237</v>
      </c>
      <c r="L15" s="122">
        <f>INDEX('[2]Change in Proportion Layers'!$AA$8:$AA$321,MATCH('PY_OPEB Amounts'!A15,'[2]Change in Proportion Layers'!$A$8:$A$321,0))</f>
        <v>0</v>
      </c>
      <c r="M15" s="122">
        <f t="shared" si="0"/>
        <v>146319</v>
      </c>
      <c r="N15" s="123"/>
      <c r="O15" s="123">
        <f>ROUND(VLOOKUP(A15,'[2]Contribution Allocation_Report'!$A$9:$D$310,4,FALSE)*'PY_OPEB Amounts'!$O$323,0)</f>
        <v>-28666</v>
      </c>
      <c r="P15" s="123">
        <f>INDEX('[2]Change in Proportion Layers'!$X$8:$X$321,MATCH('PY_OPEB Amounts'!A15,'[2]Change in Proportion Layers'!$A$8:$A$321,0))</f>
        <v>65520</v>
      </c>
      <c r="Q15" s="123">
        <f t="shared" si="2"/>
        <v>36854</v>
      </c>
    </row>
    <row r="16" spans="1:17" ht="12" customHeight="1">
      <c r="A16" s="164">
        <v>15046</v>
      </c>
      <c r="B16" s="168" t="s">
        <v>10</v>
      </c>
      <c r="C16" s="120">
        <f>ROUND(VLOOKUP(A16,'[2]Contribution Allocation_Report'!$A$9:$D$310,4,FALSE)*'PY_OPEB Amounts'!$C$323,0)</f>
        <v>23127211</v>
      </c>
      <c r="D16" s="120">
        <f>ROUND(VLOOKUP(A16,'[2]Contribution Allocation_Report'!$A$9:$D$310,4,FALSE)*'PY_OPEB Amounts'!$D$323,0)</f>
        <v>338150</v>
      </c>
      <c r="E16" s="120">
        <f>ROUND(VLOOKUP(A16,'[2]Contribution Allocation_Report'!$A$9:$D$310,4,FALSE)*'PY_OPEB Amounts'!$E$323,0)</f>
        <v>4630282</v>
      </c>
      <c r="F16" s="130">
        <f>INDEX('[2]Change in Proportion Layers'!$Z$8:$Z$321,MATCH('PY_OPEB Amounts'!A16,'[2]Change in Proportion Layers'!$A$8:$A$321,0))</f>
        <v>1502372</v>
      </c>
      <c r="G16" s="120">
        <f t="shared" si="1"/>
        <v>6470804</v>
      </c>
      <c r="H16" s="120"/>
      <c r="I16" s="120">
        <f>ROUND(VLOOKUP(A16,'[2]Contribution Allocation_Report'!$A$9:$D$310,4,FALSE)*'PY_OPEB Amounts'!$I$323,0)</f>
        <v>3688309</v>
      </c>
      <c r="J16" s="120">
        <f>ROUND(VLOOKUP(A16,'[2]Contribution Allocation_Report'!$A$9:$D$310,4,FALSE)*'PY_OPEB Amounts'!$J$323,0)</f>
        <v>662922</v>
      </c>
      <c r="K16" s="120">
        <f>ROUND(VLOOKUP(A16,'[2]Contribution Allocation_Report'!$A$9:$D$310,4,FALSE)*'PY_OPEB Amounts'!$K$323,0)</f>
        <v>8361307</v>
      </c>
      <c r="L16" s="120">
        <f>INDEX('[2]Change in Proportion Layers'!$AA$8:$AA$321,MATCH('PY_OPEB Amounts'!A16,'[2]Change in Proportion Layers'!$A$8:$A$321,0))</f>
        <v>426475</v>
      </c>
      <c r="M16" s="120">
        <f t="shared" si="0"/>
        <v>13139013</v>
      </c>
      <c r="N16" s="121"/>
      <c r="O16" s="121">
        <f>ROUND(VLOOKUP(A16,'[2]Contribution Allocation_Report'!$A$9:$D$310,4,FALSE)*'PY_OPEB Amounts'!$O$323,0)</f>
        <v>-2490607</v>
      </c>
      <c r="P16" s="121">
        <f>INDEX('[2]Change in Proportion Layers'!$X$8:$X$321,MATCH('PY_OPEB Amounts'!A16,'[2]Change in Proportion Layers'!$A$8:$A$321,0))</f>
        <v>216758</v>
      </c>
      <c r="Q16" s="121">
        <f t="shared" si="2"/>
        <v>-2273849</v>
      </c>
    </row>
    <row r="17" spans="1:17" ht="12" customHeight="1">
      <c r="A17" s="166">
        <v>4380</v>
      </c>
      <c r="B17" s="167" t="s">
        <v>11</v>
      </c>
      <c r="C17" s="122">
        <f>ROUND(VLOOKUP(A17,'[2]Contribution Allocation_Report'!$A$9:$D$310,4,FALSE)*'PY_OPEB Amounts'!$C$323,0)</f>
        <v>23845494</v>
      </c>
      <c r="D17" s="122">
        <f>ROUND(VLOOKUP(A17,'[2]Contribution Allocation_Report'!$A$9:$D$310,4,FALSE)*'PY_OPEB Amounts'!$D$323,0)</f>
        <v>348653</v>
      </c>
      <c r="E17" s="122">
        <f>ROUND(VLOOKUP(A17,'[2]Contribution Allocation_Report'!$A$9:$D$310,4,FALSE)*'PY_OPEB Amounts'!$E$323,0)</f>
        <v>4774089</v>
      </c>
      <c r="F17" s="122">
        <f>INDEX('[2]Change in Proportion Layers'!$Z$8:$Z$321,MATCH('PY_OPEB Amounts'!A17,'[2]Change in Proportion Layers'!$A$8:$A$321,0))</f>
        <v>292413</v>
      </c>
      <c r="G17" s="122">
        <f t="shared" si="1"/>
        <v>5415155</v>
      </c>
      <c r="H17" s="122"/>
      <c r="I17" s="122">
        <f>ROUND(VLOOKUP(A17,'[2]Contribution Allocation_Report'!$A$9:$D$310,4,FALSE)*'PY_OPEB Amounts'!$I$323,0)</f>
        <v>3802860</v>
      </c>
      <c r="J17" s="122">
        <f>ROUND(VLOOKUP(A17,'[2]Contribution Allocation_Report'!$A$9:$D$310,4,FALSE)*'PY_OPEB Amounts'!$J$323,0)</f>
        <v>683511</v>
      </c>
      <c r="K17" s="122">
        <f>ROUND(VLOOKUP(A17,'[2]Contribution Allocation_Report'!$A$9:$D$310,4,FALSE)*'PY_OPEB Amounts'!$K$323,0)</f>
        <v>8620991</v>
      </c>
      <c r="L17" s="131">
        <f>INDEX('[2]Change in Proportion Layers'!$AA$8:$AA$321,MATCH('PY_OPEB Amounts'!A17,'[2]Change in Proportion Layers'!$A$8:$A$321,0))</f>
        <v>2271284</v>
      </c>
      <c r="M17" s="122">
        <f t="shared" si="0"/>
        <v>15378646</v>
      </c>
      <c r="N17" s="123"/>
      <c r="O17" s="123">
        <f>ROUND(VLOOKUP(A17,'[2]Contribution Allocation_Report'!$A$9:$D$310,4,FALSE)*'PY_OPEB Amounts'!$O$323,0)</f>
        <v>-2567960</v>
      </c>
      <c r="P17" s="123">
        <f>INDEX('[2]Change in Proportion Layers'!$X$8:$X$321,MATCH('PY_OPEB Amounts'!A17,'[2]Change in Proportion Layers'!$A$8:$A$321,0))</f>
        <v>-624128</v>
      </c>
      <c r="Q17" s="123">
        <f t="shared" si="2"/>
        <v>-3192088</v>
      </c>
    </row>
    <row r="18" spans="1:17" ht="12" customHeight="1">
      <c r="A18" s="164">
        <v>2435</v>
      </c>
      <c r="B18" s="168" t="s">
        <v>408</v>
      </c>
      <c r="C18" s="120">
        <f>ROUND(VLOOKUP(A18,'[2]Contribution Allocation_Report'!$A$9:$D$310,4,FALSE)*'PY_OPEB Amounts'!$C$323,0)</f>
        <v>468875</v>
      </c>
      <c r="D18" s="120">
        <f>ROUND(VLOOKUP(A18,'[2]Contribution Allocation_Report'!$A$9:$D$310,4,FALSE)*'PY_OPEB Amounts'!$D$323,0)</f>
        <v>6856</v>
      </c>
      <c r="E18" s="120">
        <f>ROUND(VLOOKUP(A18,'[2]Contribution Allocation_Report'!$A$9:$D$310,4,FALSE)*'PY_OPEB Amounts'!$E$323,0)</f>
        <v>93873</v>
      </c>
      <c r="F18" s="130">
        <f>INDEX('[2]Change in Proportion Layers'!$Z$8:$Z$321,MATCH('PY_OPEB Amounts'!A18,'[2]Change in Proportion Layers'!$A$8:$A$321,0))</f>
        <v>455708</v>
      </c>
      <c r="G18" s="120">
        <f t="shared" si="1"/>
        <v>556437</v>
      </c>
      <c r="H18" s="120"/>
      <c r="I18" s="120">
        <f>ROUND(VLOOKUP(A18,'[2]Contribution Allocation_Report'!$A$9:$D$310,4,FALSE)*'PY_OPEB Amounts'!$I$323,0)</f>
        <v>74776</v>
      </c>
      <c r="J18" s="120">
        <f>ROUND(VLOOKUP(A18,'[2]Contribution Allocation_Report'!$A$9:$D$310,4,FALSE)*'PY_OPEB Amounts'!$J$323,0)</f>
        <v>13440</v>
      </c>
      <c r="K18" s="120">
        <f>ROUND(VLOOKUP(A18,'[2]Contribution Allocation_Report'!$A$9:$D$310,4,FALSE)*'PY_OPEB Amounts'!$K$323,0)</f>
        <v>169515</v>
      </c>
      <c r="L18" s="120">
        <f>INDEX('[2]Change in Proportion Layers'!$AA$8:$AA$321,MATCH('PY_OPEB Amounts'!A18,'[2]Change in Proportion Layers'!$A$8:$A$321,0))</f>
        <v>0</v>
      </c>
      <c r="M18" s="120">
        <f t="shared" si="0"/>
        <v>257731</v>
      </c>
      <c r="N18" s="121"/>
      <c r="O18" s="121">
        <f>ROUND(VLOOKUP(A18,'[2]Contribution Allocation_Report'!$A$9:$D$310,4,FALSE)*'PY_OPEB Amounts'!$O$323,0)</f>
        <v>-50494</v>
      </c>
      <c r="P18" s="121">
        <f>INDEX('[2]Change in Proportion Layers'!$X$8:$X$321,MATCH('PY_OPEB Amounts'!A18,'[2]Change in Proportion Layers'!$A$8:$A$321,0))</f>
        <v>127885</v>
      </c>
      <c r="Q18" s="121">
        <f t="shared" si="2"/>
        <v>77391</v>
      </c>
    </row>
    <row r="19" spans="1:17" ht="12" customHeight="1">
      <c r="A19" s="166">
        <v>4560</v>
      </c>
      <c r="B19" s="167" t="s">
        <v>12</v>
      </c>
      <c r="C19" s="122">
        <f>ROUND(VLOOKUP(A19,'[2]Contribution Allocation_Report'!$A$9:$D$310,4,FALSE)*'PY_OPEB Amounts'!$C$323,0)</f>
        <v>2075553</v>
      </c>
      <c r="D19" s="122">
        <f>ROUND(VLOOKUP(A19,'[2]Contribution Allocation_Report'!$A$9:$D$310,4,FALSE)*'PY_OPEB Amounts'!$D$323,0)</f>
        <v>30347</v>
      </c>
      <c r="E19" s="122">
        <f>ROUND(VLOOKUP(A19,'[2]Contribution Allocation_Report'!$A$9:$D$310,4,FALSE)*'PY_OPEB Amounts'!$E$323,0)</f>
        <v>415545</v>
      </c>
      <c r="F19" s="122">
        <f>INDEX('[2]Change in Proportion Layers'!$Z$8:$Z$321,MATCH('PY_OPEB Amounts'!A19,'[2]Change in Proportion Layers'!$A$8:$A$321,0))</f>
        <v>209327</v>
      </c>
      <c r="G19" s="122">
        <f t="shared" si="1"/>
        <v>655219</v>
      </c>
      <c r="H19" s="122"/>
      <c r="I19" s="122">
        <f>ROUND(VLOOKUP(A19,'[2]Contribution Allocation_Report'!$A$9:$D$310,4,FALSE)*'PY_OPEB Amounts'!$I$323,0)</f>
        <v>331007</v>
      </c>
      <c r="J19" s="122">
        <f>ROUND(VLOOKUP(A19,'[2]Contribution Allocation_Report'!$A$9:$D$310,4,FALSE)*'PY_OPEB Amounts'!$J$323,0)</f>
        <v>59494</v>
      </c>
      <c r="K19" s="122">
        <f>ROUND(VLOOKUP(A19,'[2]Contribution Allocation_Report'!$A$9:$D$310,4,FALSE)*'PY_OPEB Amounts'!$K$323,0)</f>
        <v>750386</v>
      </c>
      <c r="L19" s="122">
        <f>INDEX('[2]Change in Proportion Layers'!$AA$8:$AA$321,MATCH('PY_OPEB Amounts'!A19,'[2]Change in Proportion Layers'!$A$8:$A$321,0))</f>
        <v>243426</v>
      </c>
      <c r="M19" s="122">
        <f t="shared" si="0"/>
        <v>1384313</v>
      </c>
      <c r="N19" s="123"/>
      <c r="O19" s="123">
        <f>ROUND(VLOOKUP(A19,'[2]Contribution Allocation_Report'!$A$9:$D$310,4,FALSE)*'PY_OPEB Amounts'!$O$323,0)</f>
        <v>-223520</v>
      </c>
      <c r="P19" s="123">
        <f>INDEX('[2]Change in Proportion Layers'!$X$8:$X$321,MATCH('PY_OPEB Amounts'!A19,'[2]Change in Proportion Layers'!$A$8:$A$321,0))</f>
        <v>-59284</v>
      </c>
      <c r="Q19" s="123">
        <f t="shared" si="2"/>
        <v>-282804</v>
      </c>
    </row>
    <row r="20" spans="1:17" ht="12" customHeight="1">
      <c r="A20" s="164">
        <v>2341</v>
      </c>
      <c r="B20" s="168" t="s">
        <v>434</v>
      </c>
      <c r="C20" s="120">
        <f>ROUND(VLOOKUP(A20,'[2]Contribution Allocation_Report'!$A$9:$D$310,4,FALSE)*'PY_OPEB Amounts'!$C$323,0)</f>
        <v>1218746</v>
      </c>
      <c r="D20" s="120">
        <f>ROUND(VLOOKUP(A20,'[2]Contribution Allocation_Report'!$A$9:$D$310,4,FALSE)*'PY_OPEB Amounts'!$D$323,0)</f>
        <v>17820</v>
      </c>
      <c r="E20" s="120">
        <f>ROUND(VLOOKUP(A20,'[2]Contribution Allocation_Report'!$A$9:$D$310,4,FALSE)*'PY_OPEB Amounts'!$E$323,0)</f>
        <v>244004</v>
      </c>
      <c r="F20" s="120">
        <f>INDEX('[2]Change in Proportion Layers'!$Z$8:$Z$321,MATCH('PY_OPEB Amounts'!A20,'[2]Change in Proportion Layers'!$A$8:$A$321,0))</f>
        <v>27150</v>
      </c>
      <c r="G20" s="120">
        <f t="shared" si="1"/>
        <v>288974</v>
      </c>
      <c r="H20" s="120"/>
      <c r="I20" s="120">
        <f>ROUND(VLOOKUP(A20,'[2]Contribution Allocation_Report'!$A$9:$D$310,4,FALSE)*'PY_OPEB Amounts'!$I$323,0)</f>
        <v>194365</v>
      </c>
      <c r="J20" s="120">
        <f>ROUND(VLOOKUP(A20,'[2]Contribution Allocation_Report'!$A$9:$D$310,4,FALSE)*'PY_OPEB Amounts'!$J$323,0)</f>
        <v>34934</v>
      </c>
      <c r="K20" s="120">
        <f>ROUND(VLOOKUP(A20,'[2]Contribution Allocation_Report'!$A$9:$D$310,4,FALSE)*'PY_OPEB Amounts'!$K$323,0)</f>
        <v>440620</v>
      </c>
      <c r="L20" s="120">
        <f>INDEX('[2]Change in Proportion Layers'!$AA$8:$AA$321,MATCH('PY_OPEB Amounts'!A20,'[2]Change in Proportion Layers'!$A$8:$A$321,0))</f>
        <v>159542</v>
      </c>
      <c r="M20" s="120">
        <f t="shared" si="0"/>
        <v>829461</v>
      </c>
      <c r="N20" s="121"/>
      <c r="O20" s="121">
        <f>ROUND(VLOOKUP(A20,'[2]Contribution Allocation_Report'!$A$9:$D$310,4,FALSE)*'PY_OPEB Amounts'!$O$323,0)</f>
        <v>-131249</v>
      </c>
      <c r="P20" s="121">
        <f>INDEX('[2]Change in Proportion Layers'!$X$8:$X$321,MATCH('PY_OPEB Amounts'!A20,'[2]Change in Proportion Layers'!$A$8:$A$321,0))</f>
        <v>-42870</v>
      </c>
      <c r="Q20" s="121">
        <f t="shared" si="2"/>
        <v>-174119</v>
      </c>
    </row>
    <row r="21" spans="1:17" ht="12" customHeight="1">
      <c r="A21" s="166">
        <v>4580</v>
      </c>
      <c r="B21" s="167" t="s">
        <v>409</v>
      </c>
      <c r="C21" s="122">
        <f>ROUND(VLOOKUP(A21,'[2]Contribution Allocation_Report'!$A$9:$D$310,4,FALSE)*'PY_OPEB Amounts'!$C$323,0)</f>
        <v>1021983</v>
      </c>
      <c r="D21" s="122">
        <f>ROUND(VLOOKUP(A21,'[2]Contribution Allocation_Report'!$A$9:$D$310,4,FALSE)*'PY_OPEB Amounts'!$D$323,0)</f>
        <v>14943</v>
      </c>
      <c r="E21" s="122">
        <f>ROUND(VLOOKUP(A21,'[2]Contribution Allocation_Report'!$A$9:$D$310,4,FALSE)*'PY_OPEB Amounts'!$E$323,0)</f>
        <v>204610</v>
      </c>
      <c r="F21" s="122">
        <f>INDEX('[2]Change in Proportion Layers'!$Z$8:$Z$321,MATCH('PY_OPEB Amounts'!A21,'[2]Change in Proportion Layers'!$A$8:$A$321,0))</f>
        <v>859063</v>
      </c>
      <c r="G21" s="122">
        <f t="shared" si="1"/>
        <v>1078616</v>
      </c>
      <c r="H21" s="122"/>
      <c r="I21" s="122">
        <f>ROUND(VLOOKUP(A21,'[2]Contribution Allocation_Report'!$A$9:$D$310,4,FALSE)*'PY_OPEB Amounts'!$I$323,0)</f>
        <v>162985</v>
      </c>
      <c r="J21" s="122">
        <f>ROUND(VLOOKUP(A21,'[2]Contribution Allocation_Report'!$A$9:$D$310,4,FALSE)*'PY_OPEB Amounts'!$J$323,0)</f>
        <v>29294</v>
      </c>
      <c r="K21" s="122">
        <f>ROUND(VLOOKUP(A21,'[2]Contribution Allocation_Report'!$A$9:$D$310,4,FALSE)*'PY_OPEB Amounts'!$K$323,0)</f>
        <v>369483</v>
      </c>
      <c r="L21" s="122">
        <f>INDEX('[2]Change in Proportion Layers'!$AA$8:$AA$321,MATCH('PY_OPEB Amounts'!A21,'[2]Change in Proportion Layers'!$A$8:$A$321,0))</f>
        <v>87280</v>
      </c>
      <c r="M21" s="122">
        <f t="shared" si="0"/>
        <v>649042</v>
      </c>
      <c r="N21" s="123"/>
      <c r="O21" s="123">
        <f>ROUND(VLOOKUP(A21,'[2]Contribution Allocation_Report'!$A$9:$D$310,4,FALSE)*'PY_OPEB Amounts'!$O$323,0)</f>
        <v>-110059</v>
      </c>
      <c r="P21" s="123">
        <f>INDEX('[2]Change in Proportion Layers'!$X$8:$X$321,MATCH('PY_OPEB Amounts'!A21,'[2]Change in Proportion Layers'!$A$8:$A$321,0))</f>
        <v>304307</v>
      </c>
      <c r="Q21" s="123">
        <f t="shared" si="2"/>
        <v>194248</v>
      </c>
    </row>
    <row r="22" spans="1:17" ht="12" customHeight="1">
      <c r="A22" s="164">
        <v>2003</v>
      </c>
      <c r="B22" s="168" t="s">
        <v>13</v>
      </c>
      <c r="C22" s="120">
        <f>ROUND(VLOOKUP(A22,'[2]Contribution Allocation_Report'!$A$9:$D$310,4,FALSE)*'PY_OPEB Amounts'!$C$323,0)</f>
        <v>372367570</v>
      </c>
      <c r="D22" s="120">
        <f>ROUND(VLOOKUP(A22,'[2]Contribution Allocation_Report'!$A$9:$D$310,4,FALSE)*'PY_OPEB Amounts'!$D$323,0)</f>
        <v>5444505</v>
      </c>
      <c r="E22" s="120">
        <f>ROUND(VLOOKUP(A22,'[2]Contribution Allocation_Report'!$A$9:$D$310,4,FALSE)*'PY_OPEB Amounts'!$E$323,0)</f>
        <v>74551435</v>
      </c>
      <c r="F22" s="120">
        <f>INDEX('[2]Change in Proportion Layers'!$Z$8:$Z$321,MATCH('PY_OPEB Amounts'!A22,'[2]Change in Proportion Layers'!$A$8:$A$321,0))</f>
        <v>16038291</v>
      </c>
      <c r="G22" s="120">
        <f t="shared" si="1"/>
        <v>96034231</v>
      </c>
      <c r="H22" s="120"/>
      <c r="I22" s="120">
        <f>ROUND(VLOOKUP(A22,'[2]Contribution Allocation_Report'!$A$9:$D$310,4,FALSE)*'PY_OPEB Amounts'!$I$323,0)</f>
        <v>59384883</v>
      </c>
      <c r="J22" s="120">
        <f>ROUND(VLOOKUP(A22,'[2]Contribution Allocation_Report'!$A$9:$D$310,4,FALSE)*'PY_OPEB Amounts'!$J$323,0)</f>
        <v>10673602</v>
      </c>
      <c r="K22" s="120">
        <f>ROUND(VLOOKUP(A22,'[2]Contribution Allocation_Report'!$A$9:$D$310,4,FALSE)*'PY_OPEB Amounts'!$K$323,0)</f>
        <v>134624077</v>
      </c>
      <c r="L22" s="130">
        <f>INDEX('[2]Change in Proportion Layers'!$AA$8:$AA$321,MATCH('PY_OPEB Amounts'!A22,'[2]Change in Proportion Layers'!$A$8:$A$321,0))</f>
        <v>13042540</v>
      </c>
      <c r="M22" s="120">
        <f t="shared" si="0"/>
        <v>217725102</v>
      </c>
      <c r="N22" s="121"/>
      <c r="O22" s="121">
        <f>ROUND(VLOOKUP(A22,'[2]Contribution Allocation_Report'!$A$9:$D$310,4,FALSE)*'PY_OPEB Amounts'!$O$323,0)</f>
        <v>-40100871</v>
      </c>
      <c r="P22" s="121">
        <f>INDEX('[2]Change in Proportion Layers'!$X$8:$X$321,MATCH('PY_OPEB Amounts'!A22,'[2]Change in Proportion Layers'!$A$8:$A$321,0))</f>
        <v>606974</v>
      </c>
      <c r="Q22" s="121">
        <f t="shared" si="2"/>
        <v>-39493897</v>
      </c>
    </row>
    <row r="23" spans="1:17" ht="12" customHeight="1">
      <c r="A23" s="166">
        <v>2412</v>
      </c>
      <c r="B23" s="167" t="s">
        <v>14</v>
      </c>
      <c r="C23" s="122">
        <f>ROUND(VLOOKUP(A23,'[2]Contribution Allocation_Report'!$A$9:$D$310,4,FALSE)*'PY_OPEB Amounts'!$C$323,0)</f>
        <v>2943876</v>
      </c>
      <c r="D23" s="122">
        <f>ROUND(VLOOKUP(A23,'[2]Contribution Allocation_Report'!$A$9:$D$310,4,FALSE)*'PY_OPEB Amounts'!$D$323,0)</f>
        <v>43043</v>
      </c>
      <c r="E23" s="122">
        <f>ROUND(VLOOKUP(A23,'[2]Contribution Allocation_Report'!$A$9:$D$310,4,FALSE)*'PY_OPEB Amounts'!$E$323,0)</f>
        <v>589391</v>
      </c>
      <c r="F23" s="122">
        <f>INDEX('[2]Change in Proportion Layers'!$Z$8:$Z$321,MATCH('PY_OPEB Amounts'!A23,'[2]Change in Proportion Layers'!$A$8:$A$321,0))</f>
        <v>1775103</v>
      </c>
      <c r="G23" s="122">
        <f t="shared" si="1"/>
        <v>2407537</v>
      </c>
      <c r="H23" s="122"/>
      <c r="I23" s="122">
        <f>ROUND(VLOOKUP(A23,'[2]Contribution Allocation_Report'!$A$9:$D$310,4,FALSE)*'PY_OPEB Amounts'!$I$323,0)</f>
        <v>469487</v>
      </c>
      <c r="J23" s="122">
        <f>ROUND(VLOOKUP(A23,'[2]Contribution Allocation_Report'!$A$9:$D$310,4,FALSE)*'PY_OPEB Amounts'!$J$323,0)</f>
        <v>84384</v>
      </c>
      <c r="K23" s="122">
        <f>ROUND(VLOOKUP(A23,'[2]Contribution Allocation_Report'!$A$9:$D$310,4,FALSE)*'PY_OPEB Amounts'!$K$323,0)</f>
        <v>1064316</v>
      </c>
      <c r="L23" s="122">
        <f>INDEX('[2]Change in Proportion Layers'!$AA$8:$AA$321,MATCH('PY_OPEB Amounts'!A23,'[2]Change in Proportion Layers'!$A$8:$A$321,0))</f>
        <v>0</v>
      </c>
      <c r="M23" s="122">
        <f t="shared" si="0"/>
        <v>1618187</v>
      </c>
      <c r="N23" s="123"/>
      <c r="O23" s="123">
        <f>ROUND(VLOOKUP(A23,'[2]Contribution Allocation_Report'!$A$9:$D$310,4,FALSE)*'PY_OPEB Amounts'!$O$323,0)</f>
        <v>-317031</v>
      </c>
      <c r="P23" s="123">
        <f>INDEX('[2]Change in Proportion Layers'!$X$8:$X$321,MATCH('PY_OPEB Amounts'!A23,'[2]Change in Proportion Layers'!$A$8:$A$321,0))</f>
        <v>444332</v>
      </c>
      <c r="Q23" s="123">
        <f t="shared" si="2"/>
        <v>127301</v>
      </c>
    </row>
    <row r="24" spans="1:17" ht="12" customHeight="1">
      <c r="A24" s="164">
        <v>2402</v>
      </c>
      <c r="B24" s="168" t="s">
        <v>15</v>
      </c>
      <c r="C24" s="120">
        <f>ROUND(VLOOKUP(A24,'[2]Contribution Allocation_Report'!$A$9:$D$310,4,FALSE)*'PY_OPEB Amounts'!$C$323,0)</f>
        <v>1053241</v>
      </c>
      <c r="D24" s="120">
        <f>ROUND(VLOOKUP(A24,'[2]Contribution Allocation_Report'!$A$9:$D$310,4,FALSE)*'PY_OPEB Amounts'!$D$323,0)</f>
        <v>15400</v>
      </c>
      <c r="E24" s="120">
        <f>ROUND(VLOOKUP(A24,'[2]Contribution Allocation_Report'!$A$9:$D$310,4,FALSE)*'PY_OPEB Amounts'!$E$323,0)</f>
        <v>210869</v>
      </c>
      <c r="F24" s="120">
        <f>INDEX('[2]Change in Proportion Layers'!$Z$8:$Z$321,MATCH('PY_OPEB Amounts'!A24,'[2]Change in Proportion Layers'!$A$8:$A$321,0))</f>
        <v>202990</v>
      </c>
      <c r="G24" s="120">
        <f t="shared" si="1"/>
        <v>429259</v>
      </c>
      <c r="H24" s="120"/>
      <c r="I24" s="120">
        <f>ROUND(VLOOKUP(A24,'[2]Contribution Allocation_Report'!$A$9:$D$310,4,FALSE)*'PY_OPEB Amounts'!$I$323,0)</f>
        <v>167970</v>
      </c>
      <c r="J24" s="120">
        <f>ROUND(VLOOKUP(A24,'[2]Contribution Allocation_Report'!$A$9:$D$310,4,FALSE)*'PY_OPEB Amounts'!$J$323,0)</f>
        <v>30190</v>
      </c>
      <c r="K24" s="120">
        <f>ROUND(VLOOKUP(A24,'[2]Contribution Allocation_Report'!$A$9:$D$310,4,FALSE)*'PY_OPEB Amounts'!$K$323,0)</f>
        <v>380784</v>
      </c>
      <c r="L24" s="120">
        <f>INDEX('[2]Change in Proportion Layers'!$AA$8:$AA$321,MATCH('PY_OPEB Amounts'!A24,'[2]Change in Proportion Layers'!$A$8:$A$321,0))</f>
        <v>192384</v>
      </c>
      <c r="M24" s="120">
        <f t="shared" si="0"/>
        <v>771328</v>
      </c>
      <c r="N24" s="121"/>
      <c r="O24" s="121">
        <f>ROUND(VLOOKUP(A24,'[2]Contribution Allocation_Report'!$A$9:$D$310,4,FALSE)*'PY_OPEB Amounts'!$O$323,0)</f>
        <v>-113425</v>
      </c>
      <c r="P24" s="121">
        <f>INDEX('[2]Change in Proportion Layers'!$X$8:$X$321,MATCH('PY_OPEB Amounts'!A24,'[2]Change in Proportion Layers'!$A$8:$A$321,0))</f>
        <v>-41297</v>
      </c>
      <c r="Q24" s="121">
        <f t="shared" si="2"/>
        <v>-154722</v>
      </c>
    </row>
    <row r="25" spans="1:17" ht="12" customHeight="1">
      <c r="A25" s="166">
        <v>2361</v>
      </c>
      <c r="B25" s="167" t="s">
        <v>16</v>
      </c>
      <c r="C25" s="122">
        <f>ROUND(VLOOKUP(A25,'[2]Contribution Allocation_Report'!$A$9:$D$310,4,FALSE)*'PY_OPEB Amounts'!$C$323,0)</f>
        <v>677154</v>
      </c>
      <c r="D25" s="122">
        <f>ROUND(VLOOKUP(A25,'[2]Contribution Allocation_Report'!$A$9:$D$310,4,FALSE)*'PY_OPEB Amounts'!$D$323,0)</f>
        <v>9901</v>
      </c>
      <c r="E25" s="122">
        <f>ROUND(VLOOKUP(A25,'[2]Contribution Allocation_Report'!$A$9:$D$310,4,FALSE)*'PY_OPEB Amounts'!$E$323,0)</f>
        <v>135572</v>
      </c>
      <c r="F25" s="122">
        <f>INDEX('[2]Change in Proportion Layers'!$Z$8:$Z$321,MATCH('PY_OPEB Amounts'!A25,'[2]Change in Proportion Layers'!$A$8:$A$321,0))</f>
        <v>39956</v>
      </c>
      <c r="G25" s="122">
        <f t="shared" si="1"/>
        <v>185429</v>
      </c>
      <c r="H25" s="122"/>
      <c r="I25" s="122">
        <f>ROUND(VLOOKUP(A25,'[2]Contribution Allocation_Report'!$A$9:$D$310,4,FALSE)*'PY_OPEB Amounts'!$I$323,0)</f>
        <v>107992</v>
      </c>
      <c r="J25" s="122">
        <f>ROUND(VLOOKUP(A25,'[2]Contribution Allocation_Report'!$A$9:$D$310,4,FALSE)*'PY_OPEB Amounts'!$J$323,0)</f>
        <v>19410</v>
      </c>
      <c r="K25" s="122">
        <f>ROUND(VLOOKUP(A25,'[2]Contribution Allocation_Report'!$A$9:$D$310,4,FALSE)*'PY_OPEB Amounts'!$K$323,0)</f>
        <v>244815</v>
      </c>
      <c r="L25" s="122">
        <f>INDEX('[2]Change in Proportion Layers'!$AA$8:$AA$321,MATCH('PY_OPEB Amounts'!A25,'[2]Change in Proportion Layers'!$A$8:$A$321,0))</f>
        <v>129308</v>
      </c>
      <c r="M25" s="122">
        <f t="shared" si="0"/>
        <v>501525</v>
      </c>
      <c r="N25" s="123"/>
      <c r="O25" s="123">
        <f>ROUND(VLOOKUP(A25,'[2]Contribution Allocation_Report'!$A$9:$D$310,4,FALSE)*'PY_OPEB Amounts'!$O$323,0)</f>
        <v>-72924</v>
      </c>
      <c r="P25" s="123">
        <f>INDEX('[2]Change in Proportion Layers'!$X$8:$X$321,MATCH('PY_OPEB Amounts'!A25,'[2]Change in Proportion Layers'!$A$8:$A$321,0))</f>
        <v>-15769</v>
      </c>
      <c r="Q25" s="123">
        <f t="shared" si="2"/>
        <v>-88693</v>
      </c>
    </row>
    <row r="26" spans="1:17" ht="12" customHeight="1">
      <c r="A26" s="164">
        <v>8347</v>
      </c>
      <c r="B26" s="168" t="s">
        <v>17</v>
      </c>
      <c r="C26" s="120">
        <f>ROUND(VLOOKUP(A26,'[2]Contribution Allocation_Report'!$A$9:$D$310,4,FALSE)*'PY_OPEB Amounts'!$C$323,0)</f>
        <v>985789</v>
      </c>
      <c r="D26" s="120">
        <f>ROUND(VLOOKUP(A26,'[2]Contribution Allocation_Report'!$A$9:$D$310,4,FALSE)*'PY_OPEB Amounts'!$D$323,0)</f>
        <v>14414</v>
      </c>
      <c r="E26" s="120">
        <f>ROUND(VLOOKUP(A26,'[2]Contribution Allocation_Report'!$A$9:$D$310,4,FALSE)*'PY_OPEB Amounts'!$E$323,0)</f>
        <v>197364</v>
      </c>
      <c r="F26" s="120">
        <f>INDEX('[2]Change in Proportion Layers'!$Z$8:$Z$321,MATCH('PY_OPEB Amounts'!A26,'[2]Change in Proportion Layers'!$A$8:$A$321,0))</f>
        <v>92217</v>
      </c>
      <c r="G26" s="120">
        <f t="shared" si="1"/>
        <v>303995</v>
      </c>
      <c r="H26" s="120"/>
      <c r="I26" s="120">
        <f>ROUND(VLOOKUP(A26,'[2]Contribution Allocation_Report'!$A$9:$D$310,4,FALSE)*'PY_OPEB Amounts'!$I$323,0)</f>
        <v>157213</v>
      </c>
      <c r="J26" s="120">
        <f>ROUND(VLOOKUP(A26,'[2]Contribution Allocation_Report'!$A$9:$D$310,4,FALSE)*'PY_OPEB Amounts'!$J$323,0)</f>
        <v>28257</v>
      </c>
      <c r="K26" s="120">
        <f>ROUND(VLOOKUP(A26,'[2]Contribution Allocation_Report'!$A$9:$D$310,4,FALSE)*'PY_OPEB Amounts'!$K$323,0)</f>
        <v>356398</v>
      </c>
      <c r="L26" s="130">
        <f>INDEX('[2]Change in Proportion Layers'!$AA$8:$AA$321,MATCH('PY_OPEB Amounts'!A26,'[2]Change in Proportion Layers'!$A$8:$A$321,0))</f>
        <v>95351</v>
      </c>
      <c r="M26" s="120">
        <f t="shared" si="0"/>
        <v>637219</v>
      </c>
      <c r="N26" s="121"/>
      <c r="O26" s="121">
        <f>ROUND(VLOOKUP(A26,'[2]Contribution Allocation_Report'!$A$9:$D$310,4,FALSE)*'PY_OPEB Amounts'!$O$323,0)</f>
        <v>-106161</v>
      </c>
      <c r="P26" s="121">
        <f>INDEX('[2]Change in Proportion Layers'!$X$8:$X$321,MATCH('PY_OPEB Amounts'!A26,'[2]Change in Proportion Layers'!$A$8:$A$321,0))</f>
        <v>3602</v>
      </c>
      <c r="Q26" s="121">
        <f t="shared" si="2"/>
        <v>-102559</v>
      </c>
    </row>
    <row r="27" spans="1:17" ht="12" customHeight="1">
      <c r="A27" s="166">
        <v>2356</v>
      </c>
      <c r="B27" s="167" t="s">
        <v>18</v>
      </c>
      <c r="C27" s="122">
        <f>ROUND(VLOOKUP(A27,'[2]Contribution Allocation_Report'!$A$9:$D$310,4,FALSE)*'PY_OPEB Amounts'!$C$323,0)</f>
        <v>1875499</v>
      </c>
      <c r="D27" s="122">
        <f>ROUND(VLOOKUP(A27,'[2]Contribution Allocation_Report'!$A$9:$D$310,4,FALSE)*'PY_OPEB Amounts'!$D$323,0)</f>
        <v>27422</v>
      </c>
      <c r="E27" s="122">
        <f>ROUND(VLOOKUP(A27,'[2]Contribution Allocation_Report'!$A$9:$D$310,4,FALSE)*'PY_OPEB Amounts'!$E$323,0)</f>
        <v>375492</v>
      </c>
      <c r="F27" s="122">
        <f>INDEX('[2]Change in Proportion Layers'!$Z$8:$Z$321,MATCH('PY_OPEB Amounts'!A27,'[2]Change in Proportion Layers'!$A$8:$A$321,0))</f>
        <v>278589</v>
      </c>
      <c r="G27" s="122">
        <f t="shared" si="1"/>
        <v>681503</v>
      </c>
      <c r="H27" s="122"/>
      <c r="I27" s="122">
        <f>ROUND(VLOOKUP(A27,'[2]Contribution Allocation_Report'!$A$9:$D$310,4,FALSE)*'PY_OPEB Amounts'!$I$323,0)</f>
        <v>299103</v>
      </c>
      <c r="J27" s="122">
        <f>ROUND(VLOOKUP(A27,'[2]Contribution Allocation_Report'!$A$9:$D$310,4,FALSE)*'PY_OPEB Amounts'!$J$323,0)</f>
        <v>53760</v>
      </c>
      <c r="K27" s="122">
        <f>ROUND(VLOOKUP(A27,'[2]Contribution Allocation_Report'!$A$9:$D$310,4,FALSE)*'PY_OPEB Amounts'!$K$323,0)</f>
        <v>678060</v>
      </c>
      <c r="L27" s="122">
        <f>INDEX('[2]Change in Proportion Layers'!$AA$8:$AA$321,MATCH('PY_OPEB Amounts'!A27,'[2]Change in Proportion Layers'!$A$8:$A$321,0))</f>
        <v>0</v>
      </c>
      <c r="M27" s="122">
        <f t="shared" si="0"/>
        <v>1030923</v>
      </c>
      <c r="N27" s="123"/>
      <c r="O27" s="123">
        <f>ROUND(VLOOKUP(A27,'[2]Contribution Allocation_Report'!$A$9:$D$310,4,FALSE)*'PY_OPEB Amounts'!$O$323,0)</f>
        <v>-201976</v>
      </c>
      <c r="P27" s="123">
        <f>INDEX('[2]Change in Proportion Layers'!$X$8:$X$321,MATCH('PY_OPEB Amounts'!A27,'[2]Change in Proportion Layers'!$A$8:$A$321,0))</f>
        <v>98957</v>
      </c>
      <c r="Q27" s="123">
        <f t="shared" si="2"/>
        <v>-103019</v>
      </c>
    </row>
    <row r="28" spans="1:17" ht="12" customHeight="1">
      <c r="A28" s="164">
        <v>7335</v>
      </c>
      <c r="B28" s="168" t="s">
        <v>19</v>
      </c>
      <c r="C28" s="120">
        <f>ROUND(VLOOKUP(A28,'[2]Contribution Allocation_Report'!$A$9:$D$310,4,FALSE)*'PY_OPEB Amounts'!$C$323,0)</f>
        <v>708083</v>
      </c>
      <c r="D28" s="120">
        <f>ROUND(VLOOKUP(A28,'[2]Contribution Allocation_Report'!$A$9:$D$310,4,FALSE)*'PY_OPEB Amounts'!$D$323,0)</f>
        <v>10353</v>
      </c>
      <c r="E28" s="120">
        <f>ROUND(VLOOKUP(A28,'[2]Contribution Allocation_Report'!$A$9:$D$310,4,FALSE)*'PY_OPEB Amounts'!$E$323,0)</f>
        <v>141765</v>
      </c>
      <c r="F28" s="120">
        <f>INDEX('[2]Change in Proportion Layers'!$Z$8:$Z$321,MATCH('PY_OPEB Amounts'!A28,'[2]Change in Proportion Layers'!$A$8:$A$321,0))</f>
        <v>31453</v>
      </c>
      <c r="G28" s="120">
        <f t="shared" si="1"/>
        <v>183571</v>
      </c>
      <c r="H28" s="120"/>
      <c r="I28" s="120">
        <f>ROUND(VLOOKUP(A28,'[2]Contribution Allocation_Report'!$A$9:$D$310,4,FALSE)*'PY_OPEB Amounts'!$I$323,0)</f>
        <v>112925</v>
      </c>
      <c r="J28" s="120">
        <f>ROUND(VLOOKUP(A28,'[2]Contribution Allocation_Report'!$A$9:$D$310,4,FALSE)*'PY_OPEB Amounts'!$J$323,0)</f>
        <v>20297</v>
      </c>
      <c r="K28" s="120">
        <f>ROUND(VLOOKUP(A28,'[2]Contribution Allocation_Report'!$A$9:$D$310,4,FALSE)*'PY_OPEB Amounts'!$K$323,0)</f>
        <v>255997</v>
      </c>
      <c r="L28" s="130">
        <f>INDEX('[2]Change in Proportion Layers'!$AA$8:$AA$321,MATCH('PY_OPEB Amounts'!A28,'[2]Change in Proportion Layers'!$A$8:$A$321,0))</f>
        <v>92480</v>
      </c>
      <c r="M28" s="120">
        <f t="shared" si="0"/>
        <v>481699</v>
      </c>
      <c r="N28" s="121"/>
      <c r="O28" s="121">
        <f>ROUND(VLOOKUP(A28,'[2]Contribution Allocation_Report'!$A$9:$D$310,4,FALSE)*'PY_OPEB Amounts'!$O$323,0)</f>
        <v>-76255</v>
      </c>
      <c r="P28" s="121">
        <f>INDEX('[2]Change in Proportion Layers'!$X$8:$X$321,MATCH('PY_OPEB Amounts'!A28,'[2]Change in Proportion Layers'!$A$8:$A$321,0))</f>
        <v>-4827</v>
      </c>
      <c r="Q28" s="121">
        <f t="shared" si="2"/>
        <v>-81082</v>
      </c>
    </row>
    <row r="29" spans="1:17" ht="12" customHeight="1">
      <c r="A29" s="166">
        <v>575</v>
      </c>
      <c r="B29" s="167" t="s">
        <v>410</v>
      </c>
      <c r="C29" s="122">
        <f>ROUND(VLOOKUP(A29,'[2]Contribution Allocation_Report'!$A$9:$D$310,4,FALSE)*'PY_OPEB Amounts'!$C$323,0)</f>
        <v>579102</v>
      </c>
      <c r="D29" s="122">
        <f>ROUND(VLOOKUP(A29,'[2]Contribution Allocation_Report'!$A$9:$D$310,4,FALSE)*'PY_OPEB Amounts'!$D$323,0)</f>
        <v>8467</v>
      </c>
      <c r="E29" s="122">
        <f>ROUND(VLOOKUP(A29,'[2]Contribution Allocation_Report'!$A$9:$D$310,4,FALSE)*'PY_OPEB Amounts'!$E$323,0)</f>
        <v>115941</v>
      </c>
      <c r="F29" s="131">
        <f>INDEX('[2]Change in Proportion Layers'!$Z$8:$Z$321,MATCH('PY_OPEB Amounts'!A29,'[2]Change in Proportion Layers'!$A$8:$A$321,0))</f>
        <v>555613</v>
      </c>
      <c r="G29" s="122">
        <f t="shared" si="1"/>
        <v>680021</v>
      </c>
      <c r="H29" s="122"/>
      <c r="I29" s="122">
        <f>ROUND(VLOOKUP(A29,'[2]Contribution Allocation_Report'!$A$9:$D$310,4,FALSE)*'PY_OPEB Amounts'!$I$323,0)</f>
        <v>92355</v>
      </c>
      <c r="J29" s="122">
        <f>ROUND(VLOOKUP(A29,'[2]Contribution Allocation_Report'!$A$9:$D$310,4,FALSE)*'PY_OPEB Amounts'!$J$323,0)</f>
        <v>16599</v>
      </c>
      <c r="K29" s="122">
        <f>ROUND(VLOOKUP(A29,'[2]Contribution Allocation_Report'!$A$9:$D$310,4,FALSE)*'PY_OPEB Amounts'!$K$323,0)</f>
        <v>209366</v>
      </c>
      <c r="L29" s="122">
        <f>INDEX('[2]Change in Proportion Layers'!$AA$8:$AA$321,MATCH('PY_OPEB Amounts'!A29,'[2]Change in Proportion Layers'!$A$8:$A$321,0))</f>
        <v>0</v>
      </c>
      <c r="M29" s="122">
        <f t="shared" si="0"/>
        <v>318320</v>
      </c>
      <c r="N29" s="123"/>
      <c r="O29" s="123">
        <f>ROUND(VLOOKUP(A29,'[2]Contribution Allocation_Report'!$A$9:$D$310,4,FALSE)*'PY_OPEB Amounts'!$O$323,0)</f>
        <v>-62364</v>
      </c>
      <c r="P29" s="123">
        <f>INDEX('[2]Change in Proportion Layers'!$X$8:$X$321,MATCH('PY_OPEB Amounts'!A29,'[2]Change in Proportion Layers'!$A$8:$A$321,0))</f>
        <v>158912</v>
      </c>
      <c r="Q29" s="123">
        <f t="shared" si="2"/>
        <v>96548</v>
      </c>
    </row>
    <row r="30" spans="1:17" ht="12" customHeight="1">
      <c r="A30" s="164">
        <v>2303</v>
      </c>
      <c r="B30" s="168" t="s">
        <v>20</v>
      </c>
      <c r="C30" s="120">
        <f>ROUND(VLOOKUP(A30,'[2]Contribution Allocation_Report'!$A$9:$D$310,4,FALSE)*'PY_OPEB Amounts'!$C$323,0)</f>
        <v>1457296</v>
      </c>
      <c r="D30" s="120">
        <f>ROUND(VLOOKUP(A30,'[2]Contribution Allocation_Report'!$A$9:$D$310,4,FALSE)*'PY_OPEB Amounts'!$D$323,0)</f>
        <v>21308</v>
      </c>
      <c r="E30" s="120">
        <f>ROUND(VLOOKUP(A30,'[2]Contribution Allocation_Report'!$A$9:$D$310,4,FALSE)*'PY_OPEB Amounts'!$E$323,0)</f>
        <v>291764</v>
      </c>
      <c r="F30" s="120">
        <f>INDEX('[2]Change in Proportion Layers'!$Z$8:$Z$321,MATCH('PY_OPEB Amounts'!A30,'[2]Change in Proportion Layers'!$A$8:$A$321,0))</f>
        <v>0</v>
      </c>
      <c r="G30" s="120">
        <f t="shared" si="1"/>
        <v>313072</v>
      </c>
      <c r="H30" s="120"/>
      <c r="I30" s="120">
        <f>ROUND(VLOOKUP(A30,'[2]Contribution Allocation_Report'!$A$9:$D$310,4,FALSE)*'PY_OPEB Amounts'!$I$323,0)</f>
        <v>232408</v>
      </c>
      <c r="J30" s="120">
        <f>ROUND(VLOOKUP(A30,'[2]Contribution Allocation_Report'!$A$9:$D$310,4,FALSE)*'PY_OPEB Amounts'!$J$323,0)</f>
        <v>41772</v>
      </c>
      <c r="K30" s="120">
        <f>ROUND(VLOOKUP(A30,'[2]Contribution Allocation_Report'!$A$9:$D$310,4,FALSE)*'PY_OPEB Amounts'!$K$323,0)</f>
        <v>526864</v>
      </c>
      <c r="L30" s="130">
        <f>INDEX('[2]Change in Proportion Layers'!$AA$8:$AA$321,MATCH('PY_OPEB Amounts'!A30,'[2]Change in Proportion Layers'!$A$8:$A$321,0))</f>
        <v>266647</v>
      </c>
      <c r="M30" s="120">
        <f t="shared" si="0"/>
        <v>1067691</v>
      </c>
      <c r="N30" s="121"/>
      <c r="O30" s="121">
        <f>ROUND(VLOOKUP(A30,'[2]Contribution Allocation_Report'!$A$9:$D$310,4,FALSE)*'PY_OPEB Amounts'!$O$323,0)</f>
        <v>-156939</v>
      </c>
      <c r="P30" s="121">
        <f>INDEX('[2]Change in Proportion Layers'!$X$8:$X$321,MATCH('PY_OPEB Amounts'!A30,'[2]Change in Proportion Layers'!$A$8:$A$321,0))</f>
        <v>-78935</v>
      </c>
      <c r="Q30" s="121">
        <f t="shared" si="2"/>
        <v>-235874</v>
      </c>
    </row>
    <row r="31" spans="1:17" ht="12" customHeight="1">
      <c r="A31" s="166">
        <v>20316</v>
      </c>
      <c r="B31" s="167" t="s">
        <v>21</v>
      </c>
      <c r="C31" s="122">
        <f>ROUND(VLOOKUP(A31,'[2]Contribution Allocation_Report'!$A$9:$D$310,4,FALSE)*'PY_OPEB Amounts'!$C$323,0)</f>
        <v>756451</v>
      </c>
      <c r="D31" s="122">
        <f>ROUND(VLOOKUP(A31,'[2]Contribution Allocation_Report'!$A$9:$D$310,4,FALSE)*'PY_OPEB Amounts'!$D$323,0)</f>
        <v>11060</v>
      </c>
      <c r="E31" s="122">
        <f>ROUND(VLOOKUP(A31,'[2]Contribution Allocation_Report'!$A$9:$D$310,4,FALSE)*'PY_OPEB Amounts'!$E$323,0)</f>
        <v>151449</v>
      </c>
      <c r="F31" s="131">
        <f>INDEX('[2]Change in Proportion Layers'!$Z$8:$Z$321,MATCH('PY_OPEB Amounts'!A31,'[2]Change in Proportion Layers'!$A$8:$A$321,0))</f>
        <v>84241</v>
      </c>
      <c r="G31" s="122">
        <f t="shared" si="1"/>
        <v>246750</v>
      </c>
      <c r="H31" s="122"/>
      <c r="I31" s="122">
        <f>ROUND(VLOOKUP(A31,'[2]Contribution Allocation_Report'!$A$9:$D$310,4,FALSE)*'PY_OPEB Amounts'!$I$323,0)</f>
        <v>120638</v>
      </c>
      <c r="J31" s="122">
        <f>ROUND(VLOOKUP(A31,'[2]Contribution Allocation_Report'!$A$9:$D$310,4,FALSE)*'PY_OPEB Amounts'!$J$323,0)</f>
        <v>21683</v>
      </c>
      <c r="K31" s="122">
        <f>ROUND(VLOOKUP(A31,'[2]Contribution Allocation_Report'!$A$9:$D$310,4,FALSE)*'PY_OPEB Amounts'!$K$323,0)</f>
        <v>273484</v>
      </c>
      <c r="L31" s="122">
        <f>INDEX('[2]Change in Proportion Layers'!$AA$8:$AA$321,MATCH('PY_OPEB Amounts'!A31,'[2]Change in Proportion Layers'!$A$8:$A$321,0))</f>
        <v>0</v>
      </c>
      <c r="M31" s="122">
        <f t="shared" si="0"/>
        <v>415805</v>
      </c>
      <c r="N31" s="123"/>
      <c r="O31" s="123">
        <f>ROUND(VLOOKUP(A31,'[2]Contribution Allocation_Report'!$A$9:$D$310,4,FALSE)*'PY_OPEB Amounts'!$O$323,0)</f>
        <v>-81463</v>
      </c>
      <c r="P31" s="123">
        <f>INDEX('[2]Change in Proportion Layers'!$X$8:$X$321,MATCH('PY_OPEB Amounts'!A31,'[2]Change in Proportion Layers'!$A$8:$A$321,0))</f>
        <v>19164</v>
      </c>
      <c r="Q31" s="123">
        <f t="shared" si="2"/>
        <v>-62299</v>
      </c>
    </row>
    <row r="32" spans="1:17" ht="12" customHeight="1">
      <c r="A32" s="164">
        <v>23121</v>
      </c>
      <c r="B32" s="168" t="s">
        <v>22</v>
      </c>
      <c r="C32" s="120">
        <f>ROUND(VLOOKUP(A32,'[2]Contribution Allocation_Report'!$A$9:$D$310,4,FALSE)*'PY_OPEB Amounts'!$C$323,0)</f>
        <v>921956</v>
      </c>
      <c r="D32" s="120">
        <f>ROUND(VLOOKUP(A32,'[2]Contribution Allocation_Report'!$A$9:$D$310,4,FALSE)*'PY_OPEB Amounts'!$D$323,0)</f>
        <v>13480</v>
      </c>
      <c r="E32" s="120">
        <f>ROUND(VLOOKUP(A32,'[2]Contribution Allocation_Report'!$A$9:$D$310,4,FALSE)*'PY_OPEB Amounts'!$E$323,0)</f>
        <v>184584</v>
      </c>
      <c r="F32" s="120">
        <f>INDEX('[2]Change in Proportion Layers'!$Z$8:$Z$321,MATCH('PY_OPEB Amounts'!A32,'[2]Change in Proportion Layers'!$A$8:$A$321,0))</f>
        <v>0</v>
      </c>
      <c r="G32" s="120">
        <f t="shared" si="1"/>
        <v>198064</v>
      </c>
      <c r="H32" s="120"/>
      <c r="I32" s="120">
        <f>ROUND(VLOOKUP(A32,'[2]Contribution Allocation_Report'!$A$9:$D$310,4,FALSE)*'PY_OPEB Amounts'!$I$323,0)</f>
        <v>147033</v>
      </c>
      <c r="J32" s="120">
        <f>ROUND(VLOOKUP(A32,'[2]Contribution Allocation_Report'!$A$9:$D$310,4,FALSE)*'PY_OPEB Amounts'!$J$323,0)</f>
        <v>26427</v>
      </c>
      <c r="K32" s="120">
        <f>ROUND(VLOOKUP(A32,'[2]Contribution Allocation_Report'!$A$9:$D$310,4,FALSE)*'PY_OPEB Amounts'!$K$323,0)</f>
        <v>333320</v>
      </c>
      <c r="L32" s="120">
        <f>INDEX('[2]Change in Proportion Layers'!$AA$8:$AA$321,MATCH('PY_OPEB Amounts'!A32,'[2]Change in Proportion Layers'!$A$8:$A$321,0))</f>
        <v>211498</v>
      </c>
      <c r="M32" s="120">
        <f t="shared" si="0"/>
        <v>718278</v>
      </c>
      <c r="N32" s="121"/>
      <c r="O32" s="121">
        <f>ROUND(VLOOKUP(A32,'[2]Contribution Allocation_Report'!$A$9:$D$310,4,FALSE)*'PY_OPEB Amounts'!$O$323,0)</f>
        <v>-99287</v>
      </c>
      <c r="P32" s="121">
        <f>INDEX('[2]Change in Proportion Layers'!$X$8:$X$321,MATCH('PY_OPEB Amounts'!A32,'[2]Change in Proportion Layers'!$A$8:$A$321,0))</f>
        <v>-60138</v>
      </c>
      <c r="Q32" s="121">
        <f t="shared" si="2"/>
        <v>-159425</v>
      </c>
    </row>
    <row r="33" spans="1:17" ht="12" customHeight="1">
      <c r="A33" s="166">
        <v>3004</v>
      </c>
      <c r="B33" s="167" t="s">
        <v>23</v>
      </c>
      <c r="C33" s="122">
        <f>ROUND(VLOOKUP(A33,'[2]Contribution Allocation_Report'!$A$9:$D$310,4,FALSE)*'PY_OPEB Amounts'!$C$323,0)</f>
        <v>16243470</v>
      </c>
      <c r="D33" s="122">
        <f>ROUND(VLOOKUP(A33,'[2]Contribution Allocation_Report'!$A$9:$D$310,4,FALSE)*'PY_OPEB Amounts'!$D$323,0)</f>
        <v>237501</v>
      </c>
      <c r="E33" s="122">
        <f>ROUND(VLOOKUP(A33,'[2]Contribution Allocation_Report'!$A$9:$D$310,4,FALSE)*'PY_OPEB Amounts'!$E$323,0)</f>
        <v>3252093</v>
      </c>
      <c r="F33" s="122">
        <f>INDEX('[2]Change in Proportion Layers'!$Z$8:$Z$321,MATCH('PY_OPEB Amounts'!A33,'[2]Change in Proportion Layers'!$A$8:$A$321,0))</f>
        <v>538884</v>
      </c>
      <c r="G33" s="122">
        <f t="shared" si="1"/>
        <v>4028478</v>
      </c>
      <c r="H33" s="122"/>
      <c r="I33" s="122">
        <f>ROUND(VLOOKUP(A33,'[2]Contribution Allocation_Report'!$A$9:$D$310,4,FALSE)*'PY_OPEB Amounts'!$I$323,0)</f>
        <v>2590496</v>
      </c>
      <c r="J33" s="122">
        <f>ROUND(VLOOKUP(A33,'[2]Contribution Allocation_Report'!$A$9:$D$310,4,FALSE)*'PY_OPEB Amounts'!$J$323,0)</f>
        <v>465605</v>
      </c>
      <c r="K33" s="122">
        <f>ROUND(VLOOKUP(A33,'[2]Contribution Allocation_Report'!$A$9:$D$310,4,FALSE)*'PY_OPEB Amounts'!$K$323,0)</f>
        <v>5872590</v>
      </c>
      <c r="L33" s="122">
        <f>INDEX('[2]Change in Proportion Layers'!$AA$8:$AA$321,MATCH('PY_OPEB Amounts'!A33,'[2]Change in Proportion Layers'!$A$8:$A$321,0))</f>
        <v>357572</v>
      </c>
      <c r="M33" s="122">
        <f t="shared" si="0"/>
        <v>9286263</v>
      </c>
      <c r="N33" s="123"/>
      <c r="O33" s="123">
        <f>ROUND(VLOOKUP(A33,'[2]Contribution Allocation_Report'!$A$9:$D$310,4,FALSE)*'PY_OPEB Amounts'!$O$323,0)</f>
        <v>-1749286</v>
      </c>
      <c r="P33" s="123">
        <f>INDEX('[2]Change in Proportion Layers'!$X$8:$X$321,MATCH('PY_OPEB Amounts'!A33,'[2]Change in Proportion Layers'!$A$8:$A$321,0))</f>
        <v>40493</v>
      </c>
      <c r="Q33" s="123">
        <f t="shared" si="2"/>
        <v>-1708793</v>
      </c>
    </row>
    <row r="34" spans="1:17" ht="12" customHeight="1">
      <c r="A34" s="164">
        <v>16050</v>
      </c>
      <c r="B34" s="168" t="s">
        <v>24</v>
      </c>
      <c r="C34" s="120">
        <f>ROUND(VLOOKUP(A34,'[2]Contribution Allocation_Report'!$A$9:$D$310,4,FALSE)*'PY_OPEB Amounts'!$C$323,0)</f>
        <v>11086176</v>
      </c>
      <c r="D34" s="120">
        <f>ROUND(VLOOKUP(A34,'[2]Contribution Allocation_Report'!$A$9:$D$310,4,FALSE)*'PY_OPEB Amounts'!$D$323,0)</f>
        <v>162094</v>
      </c>
      <c r="E34" s="120">
        <f>ROUND(VLOOKUP(A34,'[2]Contribution Allocation_Report'!$A$9:$D$310,4,FALSE)*'PY_OPEB Amounts'!$E$323,0)</f>
        <v>2219555</v>
      </c>
      <c r="F34" s="120">
        <f>INDEX('[2]Change in Proportion Layers'!$Z$8:$Z$321,MATCH('PY_OPEB Amounts'!A34,'[2]Change in Proportion Layers'!$A$8:$A$321,0))</f>
        <v>392453</v>
      </c>
      <c r="G34" s="120">
        <f t="shared" si="1"/>
        <v>2774102</v>
      </c>
      <c r="H34" s="120"/>
      <c r="I34" s="120">
        <f>ROUND(VLOOKUP(A34,'[2]Contribution Allocation_Report'!$A$9:$D$310,4,FALSE)*'PY_OPEB Amounts'!$I$323,0)</f>
        <v>1768014</v>
      </c>
      <c r="J34" s="120">
        <f>ROUND(VLOOKUP(A34,'[2]Contribution Allocation_Report'!$A$9:$D$310,4,FALSE)*'PY_OPEB Amounts'!$J$323,0)</f>
        <v>317776</v>
      </c>
      <c r="K34" s="120">
        <f>ROUND(VLOOKUP(A34,'[2]Contribution Allocation_Report'!$A$9:$D$310,4,FALSE)*'PY_OPEB Amounts'!$K$323,0)</f>
        <v>4008045</v>
      </c>
      <c r="L34" s="120">
        <f>INDEX('[2]Change in Proportion Layers'!$AA$8:$AA$321,MATCH('PY_OPEB Amounts'!A34,'[2]Change in Proportion Layers'!$A$8:$A$321,0))</f>
        <v>377171</v>
      </c>
      <c r="M34" s="120">
        <f t="shared" si="0"/>
        <v>6471006</v>
      </c>
      <c r="N34" s="121"/>
      <c r="O34" s="121">
        <f>ROUND(VLOOKUP(A34,'[2]Contribution Allocation_Report'!$A$9:$D$310,4,FALSE)*'PY_OPEB Amounts'!$O$323,0)</f>
        <v>-1193888</v>
      </c>
      <c r="P34" s="121">
        <f>INDEX('[2]Change in Proportion Layers'!$X$8:$X$321,MATCH('PY_OPEB Amounts'!A34,'[2]Change in Proportion Layers'!$A$8:$A$321,0))</f>
        <v>-101835</v>
      </c>
      <c r="Q34" s="121">
        <f t="shared" si="2"/>
        <v>-1295723</v>
      </c>
    </row>
    <row r="35" spans="1:17" ht="12" customHeight="1">
      <c r="A35" s="166">
        <v>14043</v>
      </c>
      <c r="B35" s="167" t="s">
        <v>25</v>
      </c>
      <c r="C35" s="122">
        <f>ROUND(VLOOKUP(A35,'[2]Contribution Allocation_Report'!$A$9:$D$310,4,FALSE)*'PY_OPEB Amounts'!$C$323,0)</f>
        <v>15285320</v>
      </c>
      <c r="D35" s="122">
        <f>ROUND(VLOOKUP(A35,'[2]Contribution Allocation_Report'!$A$9:$D$310,4,FALSE)*'PY_OPEB Amounts'!$D$323,0)</f>
        <v>223492</v>
      </c>
      <c r="E35" s="122">
        <f>ROUND(VLOOKUP(A35,'[2]Contribution Allocation_Report'!$A$9:$D$310,4,FALSE)*'PY_OPEB Amounts'!$E$323,0)</f>
        <v>3060263</v>
      </c>
      <c r="F35" s="122">
        <f>INDEX('[2]Change in Proportion Layers'!$Z$8:$Z$321,MATCH('PY_OPEB Amounts'!A35,'[2]Change in Proportion Layers'!$A$8:$A$321,0))</f>
        <v>1868476</v>
      </c>
      <c r="G35" s="122">
        <f t="shared" si="1"/>
        <v>5152231</v>
      </c>
      <c r="H35" s="122"/>
      <c r="I35" s="122">
        <f>ROUND(VLOOKUP(A35,'[2]Contribution Allocation_Report'!$A$9:$D$310,4,FALSE)*'PY_OPEB Amounts'!$I$323,0)</f>
        <v>2437691</v>
      </c>
      <c r="J35" s="122">
        <f>ROUND(VLOOKUP(A35,'[2]Contribution Allocation_Report'!$A$9:$D$310,4,FALSE)*'PY_OPEB Amounts'!$J$323,0)</f>
        <v>438141</v>
      </c>
      <c r="K35" s="122">
        <f>ROUND(VLOOKUP(A35,'[2]Contribution Allocation_Report'!$A$9:$D$310,4,FALSE)*'PY_OPEB Amounts'!$K$323,0)</f>
        <v>5526185</v>
      </c>
      <c r="L35" s="122">
        <f>INDEX('[2]Change in Proportion Layers'!$AA$8:$AA$321,MATCH('PY_OPEB Amounts'!A35,'[2]Change in Proportion Layers'!$A$8:$A$321,0))</f>
        <v>2758817</v>
      </c>
      <c r="M35" s="122">
        <f t="shared" si="0"/>
        <v>11160834</v>
      </c>
      <c r="N35" s="123"/>
      <c r="O35" s="123">
        <f>ROUND(VLOOKUP(A35,'[2]Contribution Allocation_Report'!$A$9:$D$310,4,FALSE)*'PY_OPEB Amounts'!$O$323,0)</f>
        <v>-1646101</v>
      </c>
      <c r="P35" s="123">
        <f>INDEX('[2]Change in Proportion Layers'!$X$8:$X$321,MATCH('PY_OPEB Amounts'!A35,'[2]Change in Proportion Layers'!$A$8:$A$321,0))</f>
        <v>-213129</v>
      </c>
      <c r="Q35" s="123">
        <f t="shared" si="2"/>
        <v>-1859230</v>
      </c>
    </row>
    <row r="36" spans="1:17" ht="12" customHeight="1">
      <c r="A36" s="164">
        <v>3010</v>
      </c>
      <c r="B36" s="168" t="s">
        <v>26</v>
      </c>
      <c r="C36" s="120">
        <f>ROUND(VLOOKUP(A36,'[2]Contribution Allocation_Report'!$A$9:$D$310,4,FALSE)*'PY_OPEB Amounts'!$C$323,0)</f>
        <v>95808405</v>
      </c>
      <c r="D36" s="120">
        <f>ROUND(VLOOKUP(A36,'[2]Contribution Allocation_Report'!$A$9:$D$310,4,FALSE)*'PY_OPEB Amounts'!$D$323,0)</f>
        <v>1400845</v>
      </c>
      <c r="E36" s="120">
        <f>ROUND(VLOOKUP(A36,'[2]Contribution Allocation_Report'!$A$9:$D$310,4,FALSE)*'PY_OPEB Amounts'!$E$323,0)</f>
        <v>19181730</v>
      </c>
      <c r="F36" s="120">
        <f>INDEX('[2]Change in Proportion Layers'!$Z$8:$Z$321,MATCH('PY_OPEB Amounts'!A36,'[2]Change in Proportion Layers'!$A$8:$A$321,0))</f>
        <v>3514622</v>
      </c>
      <c r="G36" s="120">
        <f t="shared" si="1"/>
        <v>24097197</v>
      </c>
      <c r="H36" s="120"/>
      <c r="I36" s="120">
        <f>ROUND(VLOOKUP(A36,'[2]Contribution Allocation_Report'!$A$9:$D$310,4,FALSE)*'PY_OPEB Amounts'!$I$323,0)</f>
        <v>15279448</v>
      </c>
      <c r="J36" s="120">
        <f>ROUND(VLOOKUP(A36,'[2]Contribution Allocation_Report'!$A$9:$D$310,4,FALSE)*'PY_OPEB Amounts'!$J$323,0)</f>
        <v>2746267</v>
      </c>
      <c r="K36" s="120">
        <f>ROUND(VLOOKUP(A36,'[2]Contribution Allocation_Report'!$A$9:$D$310,4,FALSE)*'PY_OPEB Amounts'!$K$323,0)</f>
        <v>34638135</v>
      </c>
      <c r="L36" s="120">
        <f>INDEX('[2]Change in Proportion Layers'!$AA$8:$AA$321,MATCH('PY_OPEB Amounts'!A36,'[2]Change in Proportion Layers'!$A$8:$A$321,0))</f>
        <v>3049515</v>
      </c>
      <c r="M36" s="120">
        <f t="shared" si="0"/>
        <v>55713365</v>
      </c>
      <c r="N36" s="121"/>
      <c r="O36" s="121">
        <f>ROUND(VLOOKUP(A36,'[2]Contribution Allocation_Report'!$A$9:$D$310,4,FALSE)*'PY_OPEB Amounts'!$O$323,0)</f>
        <v>-10317764</v>
      </c>
      <c r="P36" s="121">
        <f>INDEX('[2]Change in Proportion Layers'!$X$8:$X$321,MATCH('PY_OPEB Amounts'!A36,'[2]Change in Proportion Layers'!$A$8:$A$321,0))</f>
        <v>333539</v>
      </c>
      <c r="Q36" s="121">
        <f t="shared" si="2"/>
        <v>-9984225</v>
      </c>
    </row>
    <row r="37" spans="1:17" ht="12" customHeight="1">
      <c r="A37" s="166">
        <v>29086</v>
      </c>
      <c r="B37" s="167" t="s">
        <v>27</v>
      </c>
      <c r="C37" s="122">
        <f>ROUND(VLOOKUP(A37,'[2]Contribution Allocation_Report'!$A$9:$D$310,4,FALSE)*'PY_OPEB Amounts'!$C$323,0)</f>
        <v>14314338</v>
      </c>
      <c r="D37" s="122">
        <f>ROUND(VLOOKUP(A37,'[2]Contribution Allocation_Report'!$A$9:$D$310,4,FALSE)*'PY_OPEB Amounts'!$D$323,0)</f>
        <v>209294</v>
      </c>
      <c r="E37" s="122">
        <f>ROUND(VLOOKUP(A37,'[2]Contribution Allocation_Report'!$A$9:$D$310,4,FALSE)*'PY_OPEB Amounts'!$E$323,0)</f>
        <v>2865863</v>
      </c>
      <c r="F37" s="122">
        <f>INDEX('[2]Change in Proportion Layers'!$Z$8:$Z$321,MATCH('PY_OPEB Amounts'!A37,'[2]Change in Proportion Layers'!$A$8:$A$321,0))</f>
        <v>569571</v>
      </c>
      <c r="G37" s="122">
        <f t="shared" si="1"/>
        <v>3644728</v>
      </c>
      <c r="H37" s="122"/>
      <c r="I37" s="122">
        <f>ROUND(VLOOKUP(A37,'[2]Contribution Allocation_Report'!$A$9:$D$310,4,FALSE)*'PY_OPEB Amounts'!$I$323,0)</f>
        <v>2282839</v>
      </c>
      <c r="J37" s="122">
        <f>ROUND(VLOOKUP(A37,'[2]Contribution Allocation_Report'!$A$9:$D$310,4,FALSE)*'PY_OPEB Amounts'!$J$323,0)</f>
        <v>410308</v>
      </c>
      <c r="K37" s="122">
        <f>ROUND(VLOOKUP(A37,'[2]Contribution Allocation_Report'!$A$9:$D$310,4,FALSE)*'PY_OPEB Amounts'!$K$323,0)</f>
        <v>5175141</v>
      </c>
      <c r="L37" s="131">
        <f>INDEX('[2]Change in Proportion Layers'!$AA$8:$AA$321,MATCH('PY_OPEB Amounts'!A37,'[2]Change in Proportion Layers'!$A$8:$A$321,0))</f>
        <v>1132659</v>
      </c>
      <c r="M37" s="122">
        <f t="shared" si="0"/>
        <v>9000947</v>
      </c>
      <c r="N37" s="123"/>
      <c r="O37" s="123">
        <f>ROUND(VLOOKUP(A37,'[2]Contribution Allocation_Report'!$A$9:$D$310,4,FALSE)*'PY_OPEB Amounts'!$O$323,0)</f>
        <v>-1541534</v>
      </c>
      <c r="P37" s="123">
        <f>INDEX('[2]Change in Proportion Layers'!$X$8:$X$321,MATCH('PY_OPEB Amounts'!A37,'[2]Change in Proportion Layers'!$A$8:$A$321,0))</f>
        <v>-174025</v>
      </c>
      <c r="Q37" s="123">
        <f t="shared" si="2"/>
        <v>-1715559</v>
      </c>
    </row>
    <row r="38" spans="1:17" ht="12" customHeight="1">
      <c r="A38" s="164">
        <v>16051</v>
      </c>
      <c r="B38" s="168" t="s">
        <v>28</v>
      </c>
      <c r="C38" s="120">
        <f>ROUND(VLOOKUP(A38,'[2]Contribution Allocation_Report'!$A$9:$D$310,4,FALSE)*'PY_OPEB Amounts'!$C$323,0)</f>
        <v>12462858</v>
      </c>
      <c r="D38" s="120">
        <f>ROUND(VLOOKUP(A38,'[2]Contribution Allocation_Report'!$A$9:$D$310,4,FALSE)*'PY_OPEB Amounts'!$D$323,0)</f>
        <v>182223</v>
      </c>
      <c r="E38" s="120">
        <f>ROUND(VLOOKUP(A38,'[2]Contribution Allocation_Report'!$A$9:$D$310,4,FALSE)*'PY_OPEB Amounts'!$E$323,0)</f>
        <v>2495180</v>
      </c>
      <c r="F38" s="120">
        <f>INDEX('[2]Change in Proportion Layers'!$Z$8:$Z$321,MATCH('PY_OPEB Amounts'!A38,'[2]Change in Proportion Layers'!$A$8:$A$321,0))</f>
        <v>432161</v>
      </c>
      <c r="G38" s="120">
        <f t="shared" si="1"/>
        <v>3109564</v>
      </c>
      <c r="H38" s="120"/>
      <c r="I38" s="120">
        <f>ROUND(VLOOKUP(A38,'[2]Contribution Allocation_Report'!$A$9:$D$310,4,FALSE)*'PY_OPEB Amounts'!$I$323,0)</f>
        <v>1987567</v>
      </c>
      <c r="J38" s="120">
        <f>ROUND(VLOOKUP(A38,'[2]Contribution Allocation_Report'!$A$9:$D$310,4,FALSE)*'PY_OPEB Amounts'!$J$323,0)</f>
        <v>357237</v>
      </c>
      <c r="K38" s="120">
        <f>ROUND(VLOOKUP(A38,'[2]Contribution Allocation_Report'!$A$9:$D$310,4,FALSE)*'PY_OPEB Amounts'!$K$323,0)</f>
        <v>4505765</v>
      </c>
      <c r="L38" s="130">
        <f>INDEX('[2]Change in Proportion Layers'!$AA$8:$AA$321,MATCH('PY_OPEB Amounts'!A38,'[2]Change in Proportion Layers'!$A$8:$A$321,0))</f>
        <v>0</v>
      </c>
      <c r="M38" s="120">
        <f t="shared" si="0"/>
        <v>6850569</v>
      </c>
      <c r="N38" s="121"/>
      <c r="O38" s="121">
        <f>ROUND(VLOOKUP(A38,'[2]Contribution Allocation_Report'!$A$9:$D$310,4,FALSE)*'PY_OPEB Amounts'!$O$323,0)</f>
        <v>-1342146</v>
      </c>
      <c r="P38" s="121">
        <f>INDEX('[2]Change in Proportion Layers'!$X$8:$X$321,MATCH('PY_OPEB Amounts'!A38,'[2]Change in Proportion Layers'!$A$8:$A$321,0))</f>
        <v>128634</v>
      </c>
      <c r="Q38" s="121">
        <f t="shared" si="2"/>
        <v>-1213512</v>
      </c>
    </row>
    <row r="39" spans="1:17" ht="12" customHeight="1">
      <c r="A39" s="166">
        <v>26077</v>
      </c>
      <c r="B39" s="167" t="s">
        <v>29</v>
      </c>
      <c r="C39" s="122">
        <f>ROUND(VLOOKUP(A39,'[2]Contribution Allocation_Report'!$A$9:$D$310,4,FALSE)*'PY_OPEB Amounts'!$C$323,0)</f>
        <v>2335819</v>
      </c>
      <c r="D39" s="122">
        <f>ROUND(VLOOKUP(A39,'[2]Contribution Allocation_Report'!$A$9:$D$310,4,FALSE)*'PY_OPEB Amounts'!$D$323,0)</f>
        <v>34153</v>
      </c>
      <c r="E39" s="122">
        <f>ROUND(VLOOKUP(A39,'[2]Contribution Allocation_Report'!$A$9:$D$310,4,FALSE)*'PY_OPEB Amounts'!$E$323,0)</f>
        <v>467653</v>
      </c>
      <c r="F39" s="122">
        <f>INDEX('[2]Change in Proportion Layers'!$Z$8:$Z$321,MATCH('PY_OPEB Amounts'!A39,'[2]Change in Proportion Layers'!$A$8:$A$321,0))</f>
        <v>85914</v>
      </c>
      <c r="G39" s="122">
        <f t="shared" si="1"/>
        <v>587720</v>
      </c>
      <c r="H39" s="122"/>
      <c r="I39" s="122">
        <f>ROUND(VLOOKUP(A39,'[2]Contribution Allocation_Report'!$A$9:$D$310,4,FALSE)*'PY_OPEB Amounts'!$I$323,0)</f>
        <v>372515</v>
      </c>
      <c r="J39" s="122">
        <f>ROUND(VLOOKUP(A39,'[2]Contribution Allocation_Report'!$A$9:$D$310,4,FALSE)*'PY_OPEB Amounts'!$J$323,0)</f>
        <v>66954</v>
      </c>
      <c r="K39" s="122">
        <f>ROUND(VLOOKUP(A39,'[2]Contribution Allocation_Report'!$A$9:$D$310,4,FALSE)*'PY_OPEB Amounts'!$K$323,0)</f>
        <v>844481</v>
      </c>
      <c r="L39" s="122">
        <f>INDEX('[2]Change in Proportion Layers'!$AA$8:$AA$321,MATCH('PY_OPEB Amounts'!A39,'[2]Change in Proportion Layers'!$A$8:$A$321,0))</f>
        <v>64129</v>
      </c>
      <c r="M39" s="122">
        <f t="shared" si="0"/>
        <v>1348079</v>
      </c>
      <c r="N39" s="123"/>
      <c r="O39" s="123">
        <f>ROUND(VLOOKUP(A39,'[2]Contribution Allocation_Report'!$A$9:$D$310,4,FALSE)*'PY_OPEB Amounts'!$O$323,0)</f>
        <v>-251548</v>
      </c>
      <c r="P39" s="123">
        <f>INDEX('[2]Change in Proportion Layers'!$X$8:$X$321,MATCH('PY_OPEB Amounts'!A39,'[2]Change in Proportion Layers'!$A$8:$A$321,0))</f>
        <v>24764</v>
      </c>
      <c r="Q39" s="123">
        <f t="shared" si="2"/>
        <v>-226784</v>
      </c>
    </row>
    <row r="40" spans="1:17" ht="12" customHeight="1">
      <c r="A40" s="164">
        <v>3005</v>
      </c>
      <c r="B40" s="168" t="s">
        <v>30</v>
      </c>
      <c r="C40" s="120">
        <f>ROUND(VLOOKUP(A40,'[2]Contribution Allocation_Report'!$A$9:$D$310,4,FALSE)*'PY_OPEB Amounts'!$C$323,0)</f>
        <v>27251993</v>
      </c>
      <c r="D40" s="120">
        <f>ROUND(VLOOKUP(A40,'[2]Contribution Allocation_Report'!$A$9:$D$310,4,FALSE)*'PY_OPEB Amounts'!$D$323,0)</f>
        <v>398460</v>
      </c>
      <c r="E40" s="120">
        <f>ROUND(VLOOKUP(A40,'[2]Contribution Allocation_Report'!$A$9:$D$310,4,FALSE)*'PY_OPEB Amounts'!$E$323,0)</f>
        <v>5456101</v>
      </c>
      <c r="F40" s="120">
        <f>INDEX('[2]Change in Proportion Layers'!$Z$8:$Z$321,MATCH('PY_OPEB Amounts'!A40,'[2]Change in Proportion Layers'!$A$8:$A$321,0))</f>
        <v>117263</v>
      </c>
      <c r="G40" s="120">
        <f t="shared" si="1"/>
        <v>5971824</v>
      </c>
      <c r="H40" s="120"/>
      <c r="I40" s="120">
        <f>ROUND(VLOOKUP(A40,'[2]Contribution Allocation_Report'!$A$9:$D$310,4,FALSE)*'PY_OPEB Amounts'!$I$323,0)</f>
        <v>4346126</v>
      </c>
      <c r="J40" s="120">
        <f>ROUND(VLOOKUP(A40,'[2]Contribution Allocation_Report'!$A$9:$D$310,4,FALSE)*'PY_OPEB Amounts'!$J$323,0)</f>
        <v>781155</v>
      </c>
      <c r="K40" s="120">
        <f>ROUND(VLOOKUP(A40,'[2]Contribution Allocation_Report'!$A$9:$D$310,4,FALSE)*'PY_OPEB Amounts'!$K$323,0)</f>
        <v>9852562</v>
      </c>
      <c r="L40" s="120">
        <f>INDEX('[2]Change in Proportion Layers'!$AA$8:$AA$321,MATCH('PY_OPEB Amounts'!A40,'[2]Change in Proportion Layers'!$A$8:$A$321,0))</f>
        <v>2809579</v>
      </c>
      <c r="M40" s="120">
        <f t="shared" si="0"/>
        <v>17789422</v>
      </c>
      <c r="N40" s="121"/>
      <c r="O40" s="121">
        <f>ROUND(VLOOKUP(A40,'[2]Contribution Allocation_Report'!$A$9:$D$310,4,FALSE)*'PY_OPEB Amounts'!$O$323,0)</f>
        <v>-2934812</v>
      </c>
      <c r="P40" s="121">
        <f>INDEX('[2]Change in Proportion Layers'!$X$8:$X$321,MATCH('PY_OPEB Amounts'!A40,'[2]Change in Proportion Layers'!$A$8:$A$321,0))</f>
        <v>-622874</v>
      </c>
      <c r="Q40" s="121">
        <f t="shared" si="2"/>
        <v>-3557686</v>
      </c>
    </row>
    <row r="41" spans="1:17" ht="12" customHeight="1">
      <c r="A41" s="166">
        <v>26078</v>
      </c>
      <c r="B41" s="167" t="s">
        <v>31</v>
      </c>
      <c r="C41" s="122">
        <f>ROUND(VLOOKUP(A41,'[2]Contribution Allocation_Report'!$A$9:$D$310,4,FALSE)*'PY_OPEB Amounts'!$C$323,0)</f>
        <v>1015073</v>
      </c>
      <c r="D41" s="122">
        <f>ROUND(VLOOKUP(A41,'[2]Contribution Allocation_Report'!$A$9:$D$310,4,FALSE)*'PY_OPEB Amounts'!$D$323,0)</f>
        <v>14842</v>
      </c>
      <c r="E41" s="122">
        <f>ROUND(VLOOKUP(A41,'[2]Contribution Allocation_Report'!$A$9:$D$310,4,FALSE)*'PY_OPEB Amounts'!$E$323,0)</f>
        <v>203227</v>
      </c>
      <c r="F41" s="122">
        <f>INDEX('[2]Change in Proportion Layers'!$Z$8:$Z$321,MATCH('PY_OPEB Amounts'!A41,'[2]Change in Proportion Layers'!$A$8:$A$321,0))</f>
        <v>81989</v>
      </c>
      <c r="G41" s="122">
        <f t="shared" si="1"/>
        <v>300058</v>
      </c>
      <c r="H41" s="122"/>
      <c r="I41" s="122">
        <f>ROUND(VLOOKUP(A41,'[2]Contribution Allocation_Report'!$A$9:$D$310,4,FALSE)*'PY_OPEB Amounts'!$I$323,0)</f>
        <v>161883</v>
      </c>
      <c r="J41" s="122">
        <f>ROUND(VLOOKUP(A41,'[2]Contribution Allocation_Report'!$A$9:$D$310,4,FALSE)*'PY_OPEB Amounts'!$J$323,0)</f>
        <v>29096</v>
      </c>
      <c r="K41" s="122">
        <f>ROUND(VLOOKUP(A41,'[2]Contribution Allocation_Report'!$A$9:$D$310,4,FALSE)*'PY_OPEB Amounts'!$K$323,0)</f>
        <v>366985</v>
      </c>
      <c r="L41" s="122">
        <f>INDEX('[2]Change in Proportion Layers'!$AA$8:$AA$321,MATCH('PY_OPEB Amounts'!A41,'[2]Change in Proportion Layers'!$A$8:$A$321,0))</f>
        <v>71385</v>
      </c>
      <c r="M41" s="122">
        <f t="shared" si="0"/>
        <v>629349</v>
      </c>
      <c r="N41" s="123"/>
      <c r="O41" s="123">
        <f>ROUND(VLOOKUP(A41,'[2]Contribution Allocation_Report'!$A$9:$D$310,4,FALSE)*'PY_OPEB Amounts'!$O$323,0)</f>
        <v>-109315</v>
      </c>
      <c r="P41" s="123">
        <f>INDEX('[2]Change in Proportion Layers'!$X$8:$X$321,MATCH('PY_OPEB Amounts'!A41,'[2]Change in Proportion Layers'!$A$8:$A$321,0))</f>
        <v>8635</v>
      </c>
      <c r="Q41" s="123">
        <f t="shared" si="2"/>
        <v>-100680</v>
      </c>
    </row>
    <row r="42" spans="1:17" ht="12" customHeight="1">
      <c r="A42" s="164">
        <v>16053</v>
      </c>
      <c r="B42" s="168" t="s">
        <v>32</v>
      </c>
      <c r="C42" s="120">
        <f>ROUND(VLOOKUP(A42,'[2]Contribution Allocation_Report'!$A$9:$D$310,4,FALSE)*'PY_OPEB Amounts'!$C$323,0)</f>
        <v>30432116</v>
      </c>
      <c r="D42" s="120">
        <f>ROUND(VLOOKUP(A42,'[2]Contribution Allocation_Report'!$A$9:$D$310,4,FALSE)*'PY_OPEB Amounts'!$D$323,0)</f>
        <v>444958</v>
      </c>
      <c r="E42" s="120">
        <f>ROUND(VLOOKUP(A42,'[2]Contribution Allocation_Report'!$A$9:$D$310,4,FALSE)*'PY_OPEB Amounts'!$E$323,0)</f>
        <v>6092791</v>
      </c>
      <c r="F42" s="120">
        <f>INDEX('[2]Change in Proportion Layers'!$Z$8:$Z$321,MATCH('PY_OPEB Amounts'!A42,'[2]Change in Proportion Layers'!$A$8:$A$321,0))</f>
        <v>1714294</v>
      </c>
      <c r="G42" s="120">
        <f t="shared" si="1"/>
        <v>8252043</v>
      </c>
      <c r="H42" s="120"/>
      <c r="I42" s="120">
        <f>ROUND(VLOOKUP(A42,'[2]Contribution Allocation_Report'!$A$9:$D$310,4,FALSE)*'PY_OPEB Amounts'!$I$323,0)</f>
        <v>4853290</v>
      </c>
      <c r="J42" s="120">
        <f>ROUND(VLOOKUP(A42,'[2]Contribution Allocation_Report'!$A$9:$D$310,4,FALSE)*'PY_OPEB Amounts'!$J$323,0)</f>
        <v>872311</v>
      </c>
      <c r="K42" s="120">
        <f>ROUND(VLOOKUP(A42,'[2]Contribution Allocation_Report'!$A$9:$D$310,4,FALSE)*'PY_OPEB Amounts'!$K$323,0)</f>
        <v>11002289</v>
      </c>
      <c r="L42" s="120">
        <f>INDEX('[2]Change in Proportion Layers'!$AA$8:$AA$321,MATCH('PY_OPEB Amounts'!A42,'[2]Change in Proportion Layers'!$A$8:$A$321,0))</f>
        <v>1178152</v>
      </c>
      <c r="M42" s="120">
        <f t="shared" si="0"/>
        <v>17906042</v>
      </c>
      <c r="N42" s="121"/>
      <c r="O42" s="121">
        <f>ROUND(VLOOKUP(A42,'[2]Contribution Allocation_Report'!$A$9:$D$310,4,FALSE)*'PY_OPEB Amounts'!$O$323,0)</f>
        <v>-3277284</v>
      </c>
      <c r="P42" s="121">
        <f>INDEX('[2]Change in Proportion Layers'!$X$8:$X$321,MATCH('PY_OPEB Amounts'!A42,'[2]Change in Proportion Layers'!$A$8:$A$321,0))</f>
        <v>-86901</v>
      </c>
      <c r="Q42" s="121">
        <f t="shared" si="2"/>
        <v>-3364185</v>
      </c>
    </row>
    <row r="43" spans="1:17" ht="12" customHeight="1">
      <c r="A43" s="166">
        <v>2123</v>
      </c>
      <c r="B43" s="167" t="s">
        <v>33</v>
      </c>
      <c r="C43" s="122">
        <f>ROUND(VLOOKUP(A43,'[2]Contribution Allocation_Report'!$A$9:$D$310,4,FALSE)*'PY_OPEB Amounts'!$C$323,0)</f>
        <v>54643826</v>
      </c>
      <c r="D43" s="122">
        <f>ROUND(VLOOKUP(A43,'[2]Contribution Allocation_Report'!$A$9:$D$310,4,FALSE)*'PY_OPEB Amounts'!$D$323,0)</f>
        <v>798965</v>
      </c>
      <c r="E43" s="122">
        <f>ROUND(VLOOKUP(A43,'[2]Contribution Allocation_Report'!$A$9:$D$310,4,FALSE)*'PY_OPEB Amounts'!$E$323,0)</f>
        <v>10940200</v>
      </c>
      <c r="F43" s="122">
        <f>INDEX('[2]Change in Proportion Layers'!$Z$8:$Z$321,MATCH('PY_OPEB Amounts'!A43,'[2]Change in Proportion Layers'!$A$8:$A$321,0))</f>
        <v>4603033</v>
      </c>
      <c r="G43" s="122">
        <f t="shared" si="1"/>
        <v>16342198</v>
      </c>
      <c r="H43" s="122"/>
      <c r="I43" s="122">
        <f>ROUND(VLOOKUP(A43,'[2]Contribution Allocation_Report'!$A$9:$D$310,4,FALSE)*'PY_OPEB Amounts'!$I$323,0)</f>
        <v>8714554</v>
      </c>
      <c r="J43" s="122">
        <f>ROUND(VLOOKUP(A43,'[2]Contribution Allocation_Report'!$A$9:$D$310,4,FALSE)*'PY_OPEB Amounts'!$J$323,0)</f>
        <v>1566319</v>
      </c>
      <c r="K43" s="122">
        <f>ROUND(VLOOKUP(A43,'[2]Contribution Allocation_Report'!$A$9:$D$310,4,FALSE)*'PY_OPEB Amounts'!$K$323,0)</f>
        <v>19755680</v>
      </c>
      <c r="L43" s="131">
        <f>INDEX('[2]Change in Proportion Layers'!$AA$8:$AA$321,MATCH('PY_OPEB Amounts'!A43,'[2]Change in Proportion Layers'!$A$8:$A$321,0))</f>
        <v>6658059</v>
      </c>
      <c r="M43" s="122">
        <f t="shared" si="0"/>
        <v>36694612</v>
      </c>
      <c r="N43" s="123"/>
      <c r="O43" s="123">
        <f>ROUND(VLOOKUP(A43,'[2]Contribution Allocation_Report'!$A$9:$D$310,4,FALSE)*'PY_OPEB Amounts'!$O$323,0)</f>
        <v>-5884683</v>
      </c>
      <c r="P43" s="123">
        <f>INDEX('[2]Change in Proportion Layers'!$X$8:$X$321,MATCH('PY_OPEB Amounts'!A43,'[2]Change in Proportion Layers'!$A$8:$A$321,0))</f>
        <v>-607564</v>
      </c>
      <c r="Q43" s="123">
        <f t="shared" si="2"/>
        <v>-6492247</v>
      </c>
    </row>
    <row r="44" spans="1:17" ht="12" customHeight="1">
      <c r="A44" s="164">
        <v>2150</v>
      </c>
      <c r="B44" s="168" t="s">
        <v>34</v>
      </c>
      <c r="C44" s="120">
        <f>ROUND(VLOOKUP(A44,'[2]Contribution Allocation_Report'!$A$9:$D$310,4,FALSE)*'PY_OPEB Amounts'!$C$323,0)</f>
        <v>2642480</v>
      </c>
      <c r="D44" s="120">
        <f>ROUND(VLOOKUP(A44,'[2]Contribution Allocation_Report'!$A$9:$D$310,4,FALSE)*'PY_OPEB Amounts'!$D$323,0)</f>
        <v>38637</v>
      </c>
      <c r="E44" s="120">
        <f>ROUND(VLOOKUP(A44,'[2]Contribution Allocation_Report'!$A$9:$D$310,4,FALSE)*'PY_OPEB Amounts'!$E$323,0)</f>
        <v>529049</v>
      </c>
      <c r="F44" s="120">
        <f>INDEX('[2]Change in Proportion Layers'!$Z$8:$Z$321,MATCH('PY_OPEB Amounts'!A44,'[2]Change in Proportion Layers'!$A$8:$A$321,0))</f>
        <v>998021</v>
      </c>
      <c r="G44" s="120">
        <f t="shared" si="1"/>
        <v>1565707</v>
      </c>
      <c r="H44" s="120"/>
      <c r="I44" s="120">
        <f>ROUND(VLOOKUP(A44,'[2]Contribution Allocation_Report'!$A$9:$D$310,4,FALSE)*'PY_OPEB Amounts'!$I$323,0)</f>
        <v>421421</v>
      </c>
      <c r="J44" s="120">
        <f>ROUND(VLOOKUP(A44,'[2]Contribution Allocation_Report'!$A$9:$D$310,4,FALSE)*'PY_OPEB Amounts'!$J$323,0)</f>
        <v>75744</v>
      </c>
      <c r="K44" s="120">
        <f>ROUND(VLOOKUP(A44,'[2]Contribution Allocation_Report'!$A$9:$D$310,4,FALSE)*'PY_OPEB Amounts'!$K$323,0)</f>
        <v>955350</v>
      </c>
      <c r="L44" s="130">
        <f>INDEX('[2]Change in Proportion Layers'!$AA$8:$AA$321,MATCH('PY_OPEB Amounts'!A44,'[2]Change in Proportion Layers'!$A$8:$A$321,0))</f>
        <v>0</v>
      </c>
      <c r="M44" s="120">
        <f t="shared" si="0"/>
        <v>1452515</v>
      </c>
      <c r="N44" s="121"/>
      <c r="O44" s="121">
        <f>ROUND(VLOOKUP(A44,'[2]Contribution Allocation_Report'!$A$9:$D$310,4,FALSE)*'PY_OPEB Amounts'!$O$323,0)</f>
        <v>-284573</v>
      </c>
      <c r="P44" s="121">
        <f>INDEX('[2]Change in Proportion Layers'!$X$8:$X$321,MATCH('PY_OPEB Amounts'!A44,'[2]Change in Proportion Layers'!$A$8:$A$321,0))</f>
        <v>218785</v>
      </c>
      <c r="Q44" s="121">
        <f t="shared" si="2"/>
        <v>-65788</v>
      </c>
    </row>
    <row r="45" spans="1:17" ht="12" customHeight="1">
      <c r="A45" s="166">
        <v>2336</v>
      </c>
      <c r="B45" s="167" t="s">
        <v>35</v>
      </c>
      <c r="C45" s="122">
        <f>ROUND(VLOOKUP(A45,'[2]Contribution Allocation_Report'!$A$9:$D$310,4,FALSE)*'PY_OPEB Amounts'!$C$323,0)</f>
        <v>778497</v>
      </c>
      <c r="D45" s="122">
        <f>ROUND(VLOOKUP(A45,'[2]Contribution Allocation_Report'!$A$9:$D$310,4,FALSE)*'PY_OPEB Amounts'!$D$323,0)</f>
        <v>11383</v>
      </c>
      <c r="E45" s="122">
        <f>ROUND(VLOOKUP(A45,'[2]Contribution Allocation_Report'!$A$9:$D$310,4,FALSE)*'PY_OPEB Amounts'!$E$323,0)</f>
        <v>155862</v>
      </c>
      <c r="F45" s="122">
        <f>INDEX('[2]Change in Proportion Layers'!$Z$8:$Z$321,MATCH('PY_OPEB Amounts'!A45,'[2]Change in Proportion Layers'!$A$8:$A$321,0))</f>
        <v>102194</v>
      </c>
      <c r="G45" s="122">
        <f t="shared" si="1"/>
        <v>269439</v>
      </c>
      <c r="H45" s="122"/>
      <c r="I45" s="122">
        <f>ROUND(VLOOKUP(A45,'[2]Contribution Allocation_Report'!$A$9:$D$310,4,FALSE)*'PY_OPEB Amounts'!$I$323,0)</f>
        <v>124154</v>
      </c>
      <c r="J45" s="122">
        <f>ROUND(VLOOKUP(A45,'[2]Contribution Allocation_Report'!$A$9:$D$310,4,FALSE)*'PY_OPEB Amounts'!$J$323,0)</f>
        <v>22315</v>
      </c>
      <c r="K45" s="122">
        <f>ROUND(VLOOKUP(A45,'[2]Contribution Allocation_Report'!$A$9:$D$310,4,FALSE)*'PY_OPEB Amounts'!$K$323,0)</f>
        <v>281454</v>
      </c>
      <c r="L45" s="122">
        <f>INDEX('[2]Change in Proportion Layers'!$AA$8:$AA$321,MATCH('PY_OPEB Amounts'!A45,'[2]Change in Proportion Layers'!$A$8:$A$321,0))</f>
        <v>64936</v>
      </c>
      <c r="M45" s="122">
        <f t="shared" si="0"/>
        <v>492859</v>
      </c>
      <c r="N45" s="123"/>
      <c r="O45" s="123">
        <f>ROUND(VLOOKUP(A45,'[2]Contribution Allocation_Report'!$A$9:$D$310,4,FALSE)*'PY_OPEB Amounts'!$O$323,0)</f>
        <v>-83838</v>
      </c>
      <c r="P45" s="123">
        <f>INDEX('[2]Change in Proportion Layers'!$X$8:$X$321,MATCH('PY_OPEB Amounts'!A45,'[2]Change in Proportion Layers'!$A$8:$A$321,0))</f>
        <v>22072</v>
      </c>
      <c r="Q45" s="123">
        <f t="shared" si="2"/>
        <v>-61766</v>
      </c>
    </row>
    <row r="46" spans="1:17" ht="12" customHeight="1">
      <c r="A46" s="164">
        <v>17126</v>
      </c>
      <c r="B46" s="168" t="s">
        <v>36</v>
      </c>
      <c r="C46" s="120">
        <f>ROUND(VLOOKUP(A46,'[2]Contribution Allocation_Report'!$A$9:$D$310,4,FALSE)*'PY_OPEB Amounts'!$C$323,0)</f>
        <v>2231844</v>
      </c>
      <c r="D46" s="120">
        <f>ROUND(VLOOKUP(A46,'[2]Contribution Allocation_Report'!$A$9:$D$310,4,FALSE)*'PY_OPEB Amounts'!$D$323,0)</f>
        <v>32633</v>
      </c>
      <c r="E46" s="120">
        <f>ROUND(VLOOKUP(A46,'[2]Contribution Allocation_Report'!$A$9:$D$310,4,FALSE)*'PY_OPEB Amounts'!$E$323,0)</f>
        <v>446836</v>
      </c>
      <c r="F46" s="120">
        <f>INDEX('[2]Change in Proportion Layers'!$Z$8:$Z$321,MATCH('PY_OPEB Amounts'!A46,'[2]Change in Proportion Layers'!$A$8:$A$321,0))</f>
        <v>86465</v>
      </c>
      <c r="G46" s="120">
        <f t="shared" si="1"/>
        <v>565934</v>
      </c>
      <c r="H46" s="120"/>
      <c r="I46" s="120">
        <f>ROUND(VLOOKUP(A46,'[2]Contribution Allocation_Report'!$A$9:$D$310,4,FALSE)*'PY_OPEB Amounts'!$I$323,0)</f>
        <v>355933</v>
      </c>
      <c r="J46" s="120">
        <f>ROUND(VLOOKUP(A46,'[2]Contribution Allocation_Report'!$A$9:$D$310,4,FALSE)*'PY_OPEB Amounts'!$J$323,0)</f>
        <v>63974</v>
      </c>
      <c r="K46" s="120">
        <f>ROUND(VLOOKUP(A46,'[2]Contribution Allocation_Report'!$A$9:$D$310,4,FALSE)*'PY_OPEB Amounts'!$K$323,0)</f>
        <v>806891</v>
      </c>
      <c r="L46" s="120">
        <f>INDEX('[2]Change in Proportion Layers'!$AA$8:$AA$321,MATCH('PY_OPEB Amounts'!A46,'[2]Change in Proportion Layers'!$A$8:$A$321,0))</f>
        <v>255864</v>
      </c>
      <c r="M46" s="120">
        <f t="shared" si="0"/>
        <v>1482662</v>
      </c>
      <c r="N46" s="121"/>
      <c r="O46" s="121">
        <f>ROUND(VLOOKUP(A46,'[2]Contribution Allocation_Report'!$A$9:$D$310,4,FALSE)*'PY_OPEB Amounts'!$O$323,0)</f>
        <v>-240351</v>
      </c>
      <c r="P46" s="121">
        <f>INDEX('[2]Change in Proportion Layers'!$X$8:$X$321,MATCH('PY_OPEB Amounts'!A46,'[2]Change in Proportion Layers'!$A$8:$A$321,0))</f>
        <v>-60896</v>
      </c>
      <c r="Q46" s="121">
        <f t="shared" si="2"/>
        <v>-301247</v>
      </c>
    </row>
    <row r="47" spans="1:17" ht="12" customHeight="1">
      <c r="A47" s="166">
        <v>3030</v>
      </c>
      <c r="B47" s="167" t="s">
        <v>37</v>
      </c>
      <c r="C47" s="122">
        <f>ROUND(VLOOKUP(A47,'[2]Contribution Allocation_Report'!$A$9:$D$310,4,FALSE)*'PY_OPEB Amounts'!$C$323,0)</f>
        <v>6993638</v>
      </c>
      <c r="D47" s="122">
        <f>ROUND(VLOOKUP(A47,'[2]Contribution Allocation_Report'!$A$9:$D$310,4,FALSE)*'PY_OPEB Amounts'!$D$323,0)</f>
        <v>102256</v>
      </c>
      <c r="E47" s="122">
        <f>ROUND(VLOOKUP(A47,'[2]Contribution Allocation_Report'!$A$9:$D$310,4,FALSE)*'PY_OPEB Amounts'!$E$323,0)</f>
        <v>1400191</v>
      </c>
      <c r="F47" s="122">
        <f>INDEX('[2]Change in Proportion Layers'!$Z$8:$Z$321,MATCH('PY_OPEB Amounts'!A47,'[2]Change in Proportion Layers'!$A$8:$A$321,0))</f>
        <v>0</v>
      </c>
      <c r="G47" s="122">
        <f t="shared" si="1"/>
        <v>1502447</v>
      </c>
      <c r="H47" s="122"/>
      <c r="I47" s="122">
        <f>ROUND(VLOOKUP(A47,'[2]Contribution Allocation_Report'!$A$9:$D$310,4,FALSE)*'PY_OPEB Amounts'!$I$323,0)</f>
        <v>1115340</v>
      </c>
      <c r="J47" s="122">
        <f>ROUND(VLOOKUP(A47,'[2]Contribution Allocation_Report'!$A$9:$D$310,4,FALSE)*'PY_OPEB Amounts'!$J$323,0)</f>
        <v>200467</v>
      </c>
      <c r="K47" s="122">
        <f>ROUND(VLOOKUP(A47,'[2]Contribution Allocation_Report'!$A$9:$D$310,4,FALSE)*'PY_OPEB Amounts'!$K$323,0)</f>
        <v>2528448</v>
      </c>
      <c r="L47" s="131">
        <f>INDEX('[2]Change in Proportion Layers'!$AA$8:$AA$321,MATCH('PY_OPEB Amounts'!A47,'[2]Change in Proportion Layers'!$A$8:$A$321,0))</f>
        <v>872905</v>
      </c>
      <c r="M47" s="122">
        <f t="shared" si="0"/>
        <v>4717160</v>
      </c>
      <c r="N47" s="123"/>
      <c r="O47" s="123">
        <f>ROUND(VLOOKUP(A47,'[2]Contribution Allocation_Report'!$A$9:$D$310,4,FALSE)*'PY_OPEB Amounts'!$O$323,0)</f>
        <v>-753156</v>
      </c>
      <c r="P47" s="123">
        <f>INDEX('[2]Change in Proportion Layers'!$X$8:$X$321,MATCH('PY_OPEB Amounts'!A47,'[2]Change in Proportion Layers'!$A$8:$A$321,0))</f>
        <v>-230371</v>
      </c>
      <c r="Q47" s="123">
        <f t="shared" si="2"/>
        <v>-983527</v>
      </c>
    </row>
    <row r="48" spans="1:17" ht="12" customHeight="1">
      <c r="A48" s="164">
        <v>2353</v>
      </c>
      <c r="B48" s="168" t="s">
        <v>38</v>
      </c>
      <c r="C48" s="120">
        <f>ROUND(VLOOKUP(A48,'[2]Contribution Allocation_Report'!$A$9:$D$310,4,FALSE)*'PY_OPEB Amounts'!$C$323,0)</f>
        <v>1386553</v>
      </c>
      <c r="D48" s="120">
        <f>ROUND(VLOOKUP(A48,'[2]Contribution Allocation_Report'!$A$9:$D$310,4,FALSE)*'PY_OPEB Amounts'!$D$323,0)</f>
        <v>20273</v>
      </c>
      <c r="E48" s="120">
        <f>ROUND(VLOOKUP(A48,'[2]Contribution Allocation_Report'!$A$9:$D$310,4,FALSE)*'PY_OPEB Amounts'!$E$323,0)</f>
        <v>277601</v>
      </c>
      <c r="F48" s="120">
        <f>INDEX('[2]Change in Proportion Layers'!$Z$8:$Z$321,MATCH('PY_OPEB Amounts'!A48,'[2]Change in Proportion Layers'!$A$8:$A$321,0))</f>
        <v>486063</v>
      </c>
      <c r="G48" s="120">
        <f t="shared" si="1"/>
        <v>783937</v>
      </c>
      <c r="H48" s="120"/>
      <c r="I48" s="120">
        <f>ROUND(VLOOKUP(A48,'[2]Contribution Allocation_Report'!$A$9:$D$310,4,FALSE)*'PY_OPEB Amounts'!$I$323,0)</f>
        <v>221126</v>
      </c>
      <c r="J48" s="120">
        <f>ROUND(VLOOKUP(A48,'[2]Contribution Allocation_Report'!$A$9:$D$310,4,FALSE)*'PY_OPEB Amounts'!$J$323,0)</f>
        <v>39744</v>
      </c>
      <c r="K48" s="120">
        <f>ROUND(VLOOKUP(A48,'[2]Contribution Allocation_Report'!$A$9:$D$310,4,FALSE)*'PY_OPEB Amounts'!$K$323,0)</f>
        <v>501288</v>
      </c>
      <c r="L48" s="130">
        <f>INDEX('[2]Change in Proportion Layers'!$AA$8:$AA$321,MATCH('PY_OPEB Amounts'!A48,'[2]Change in Proportion Layers'!$A$8:$A$321,0))</f>
        <v>363062</v>
      </c>
      <c r="M48" s="120">
        <f t="shared" si="0"/>
        <v>1125220</v>
      </c>
      <c r="N48" s="121"/>
      <c r="O48" s="121">
        <f>ROUND(VLOOKUP(A48,'[2]Contribution Allocation_Report'!$A$9:$D$310,4,FALSE)*'PY_OPEB Amounts'!$O$323,0)</f>
        <v>-149320</v>
      </c>
      <c r="P48" s="121">
        <f>INDEX('[2]Change in Proportion Layers'!$X$8:$X$321,MATCH('PY_OPEB Amounts'!A48,'[2]Change in Proportion Layers'!$A$8:$A$321,0))</f>
        <v>138388</v>
      </c>
      <c r="Q48" s="121">
        <f t="shared" si="2"/>
        <v>-10932</v>
      </c>
    </row>
    <row r="49" spans="1:17" ht="12" customHeight="1">
      <c r="A49" s="166">
        <v>3040</v>
      </c>
      <c r="B49" s="167" t="s">
        <v>39</v>
      </c>
      <c r="C49" s="122">
        <f>ROUND(VLOOKUP(A49,'[2]Contribution Allocation_Report'!$A$9:$D$310,4,FALSE)*'PY_OPEB Amounts'!$C$323,0)</f>
        <v>2456575</v>
      </c>
      <c r="D49" s="122">
        <f>ROUND(VLOOKUP(A49,'[2]Contribution Allocation_Report'!$A$9:$D$310,4,FALSE)*'PY_OPEB Amounts'!$D$323,0)</f>
        <v>35918</v>
      </c>
      <c r="E49" s="122">
        <f>ROUND(VLOOKUP(A49,'[2]Contribution Allocation_Report'!$A$9:$D$310,4,FALSE)*'PY_OPEB Amounts'!$E$323,0)</f>
        <v>491829</v>
      </c>
      <c r="F49" s="122">
        <f>INDEX('[2]Change in Proportion Layers'!$Z$8:$Z$321,MATCH('PY_OPEB Amounts'!A49,'[2]Change in Proportion Layers'!$A$8:$A$321,0))</f>
        <v>0</v>
      </c>
      <c r="G49" s="122">
        <f t="shared" si="1"/>
        <v>527747</v>
      </c>
      <c r="H49" s="122"/>
      <c r="I49" s="122">
        <f>ROUND(VLOOKUP(A49,'[2]Contribution Allocation_Report'!$A$9:$D$310,4,FALSE)*'PY_OPEB Amounts'!$I$323,0)</f>
        <v>391773</v>
      </c>
      <c r="J49" s="122">
        <f>ROUND(VLOOKUP(A49,'[2]Contribution Allocation_Report'!$A$9:$D$310,4,FALSE)*'PY_OPEB Amounts'!$J$323,0)</f>
        <v>70416</v>
      </c>
      <c r="K49" s="122">
        <f>ROUND(VLOOKUP(A49,'[2]Contribution Allocation_Report'!$A$9:$D$310,4,FALSE)*'PY_OPEB Amounts'!$K$323,0)</f>
        <v>888139</v>
      </c>
      <c r="L49" s="122">
        <f>INDEX('[2]Change in Proportion Layers'!$AA$8:$AA$321,MATCH('PY_OPEB Amounts'!A49,'[2]Change in Proportion Layers'!$A$8:$A$321,0))</f>
        <v>977511</v>
      </c>
      <c r="M49" s="122">
        <f t="shared" si="0"/>
        <v>2327839</v>
      </c>
      <c r="N49" s="123"/>
      <c r="O49" s="123">
        <f>ROUND(VLOOKUP(A49,'[2]Contribution Allocation_Report'!$A$9:$D$310,4,FALSE)*'PY_OPEB Amounts'!$O$323,0)</f>
        <v>-264553</v>
      </c>
      <c r="P49" s="123">
        <f>INDEX('[2]Change in Proportion Layers'!$X$8:$X$321,MATCH('PY_OPEB Amounts'!A49,'[2]Change in Proportion Layers'!$A$8:$A$321,0))</f>
        <v>-443950</v>
      </c>
      <c r="Q49" s="123">
        <f t="shared" si="2"/>
        <v>-708503</v>
      </c>
    </row>
    <row r="50" spans="1:17" ht="12" customHeight="1">
      <c r="A50" s="164">
        <v>2367</v>
      </c>
      <c r="B50" s="168" t="s">
        <v>40</v>
      </c>
      <c r="C50" s="120">
        <f>ROUND(VLOOKUP(A50,'[2]Contribution Allocation_Report'!$A$9:$D$310,4,FALSE)*'PY_OPEB Amounts'!$C$323,0)</f>
        <v>1667549</v>
      </c>
      <c r="D50" s="120">
        <f>ROUND(VLOOKUP(A50,'[2]Contribution Allocation_Report'!$A$9:$D$310,4,FALSE)*'PY_OPEB Amounts'!$D$323,0)</f>
        <v>24382</v>
      </c>
      <c r="E50" s="120">
        <f>ROUND(VLOOKUP(A50,'[2]Contribution Allocation_Report'!$A$9:$D$310,4,FALSE)*'PY_OPEB Amounts'!$E$323,0)</f>
        <v>333859</v>
      </c>
      <c r="F50" s="120">
        <f>INDEX('[2]Change in Proportion Layers'!$Z$8:$Z$321,MATCH('PY_OPEB Amounts'!A50,'[2]Change in Proportion Layers'!$A$8:$A$321,0))</f>
        <v>246512</v>
      </c>
      <c r="G50" s="120">
        <f t="shared" si="1"/>
        <v>604753</v>
      </c>
      <c r="H50" s="120"/>
      <c r="I50" s="120">
        <f>ROUND(VLOOKUP(A50,'[2]Contribution Allocation_Report'!$A$9:$D$310,4,FALSE)*'PY_OPEB Amounts'!$I$323,0)</f>
        <v>265939</v>
      </c>
      <c r="J50" s="120">
        <f>ROUND(VLOOKUP(A50,'[2]Contribution Allocation_Report'!$A$9:$D$310,4,FALSE)*'PY_OPEB Amounts'!$J$323,0)</f>
        <v>47799</v>
      </c>
      <c r="K50" s="120">
        <f>ROUND(VLOOKUP(A50,'[2]Contribution Allocation_Report'!$A$9:$D$310,4,FALSE)*'PY_OPEB Amounts'!$K$323,0)</f>
        <v>602878</v>
      </c>
      <c r="L50" s="120">
        <f>INDEX('[2]Change in Proportion Layers'!$AA$8:$AA$321,MATCH('PY_OPEB Amounts'!A50,'[2]Change in Proportion Layers'!$A$8:$A$321,0))</f>
        <v>84215</v>
      </c>
      <c r="M50" s="120">
        <f t="shared" si="0"/>
        <v>1000831</v>
      </c>
      <c r="N50" s="121"/>
      <c r="O50" s="121">
        <f>ROUND(VLOOKUP(A50,'[2]Contribution Allocation_Report'!$A$9:$D$310,4,FALSE)*'PY_OPEB Amounts'!$O$323,0)</f>
        <v>-179581</v>
      </c>
      <c r="P50" s="121">
        <f>INDEX('[2]Change in Proportion Layers'!$X$8:$X$321,MATCH('PY_OPEB Amounts'!A50,'[2]Change in Proportion Layers'!$A$8:$A$321,0))</f>
        <v>24376</v>
      </c>
      <c r="Q50" s="121">
        <f t="shared" si="2"/>
        <v>-155205</v>
      </c>
    </row>
    <row r="51" spans="1:17" ht="12" customHeight="1">
      <c r="A51" s="166">
        <v>9027</v>
      </c>
      <c r="B51" s="167" t="s">
        <v>41</v>
      </c>
      <c r="C51" s="122">
        <f>ROUND(VLOOKUP(A51,'[2]Contribution Allocation_Report'!$A$9:$D$310,4,FALSE)*'PY_OPEB Amounts'!$C$323,0)</f>
        <v>2443414</v>
      </c>
      <c r="D51" s="122">
        <f>ROUND(VLOOKUP(A51,'[2]Contribution Allocation_Report'!$A$9:$D$310,4,FALSE)*'PY_OPEB Amounts'!$D$323,0)</f>
        <v>35726</v>
      </c>
      <c r="E51" s="122">
        <f>ROUND(VLOOKUP(A51,'[2]Contribution Allocation_Report'!$A$9:$D$310,4,FALSE)*'PY_OPEB Amounts'!$E$323,0)</f>
        <v>489194</v>
      </c>
      <c r="F51" s="122">
        <f>INDEX('[2]Change in Proportion Layers'!$Z$8:$Z$321,MATCH('PY_OPEB Amounts'!A51,'[2]Change in Proportion Layers'!$A$8:$A$321,0))</f>
        <v>585544</v>
      </c>
      <c r="G51" s="122">
        <f t="shared" si="1"/>
        <v>1110464</v>
      </c>
      <c r="H51" s="122"/>
      <c r="I51" s="122">
        <f>ROUND(VLOOKUP(A51,'[2]Contribution Allocation_Report'!$A$9:$D$310,4,FALSE)*'PY_OPEB Amounts'!$I$323,0)</f>
        <v>389674</v>
      </c>
      <c r="J51" s="122">
        <f>ROUND(VLOOKUP(A51,'[2]Contribution Allocation_Report'!$A$9:$D$310,4,FALSE)*'PY_OPEB Amounts'!$J$323,0)</f>
        <v>70038</v>
      </c>
      <c r="K51" s="122">
        <f>ROUND(VLOOKUP(A51,'[2]Contribution Allocation_Report'!$A$9:$D$310,4,FALSE)*'PY_OPEB Amounts'!$K$323,0)</f>
        <v>883381</v>
      </c>
      <c r="L51" s="122">
        <f>INDEX('[2]Change in Proportion Layers'!$AA$8:$AA$321,MATCH('PY_OPEB Amounts'!A51,'[2]Change in Proportion Layers'!$A$8:$A$321,0))</f>
        <v>235813</v>
      </c>
      <c r="M51" s="122">
        <f t="shared" si="0"/>
        <v>1578906</v>
      </c>
      <c r="N51" s="123"/>
      <c r="O51" s="123">
        <f>ROUND(VLOOKUP(A51,'[2]Contribution Allocation_Report'!$A$9:$D$310,4,FALSE)*'PY_OPEB Amounts'!$O$323,0)</f>
        <v>-263135</v>
      </c>
      <c r="P51" s="123">
        <f>INDEX('[2]Change in Proportion Layers'!$X$8:$X$321,MATCH('PY_OPEB Amounts'!A51,'[2]Change in Proportion Layers'!$A$8:$A$321,0))</f>
        <v>106371</v>
      </c>
      <c r="Q51" s="123">
        <f t="shared" si="2"/>
        <v>-156764</v>
      </c>
    </row>
    <row r="52" spans="1:17" ht="12" customHeight="1">
      <c r="A52" s="164">
        <v>2010</v>
      </c>
      <c r="B52" s="168" t="s">
        <v>42</v>
      </c>
      <c r="C52" s="120">
        <f>ROUND(VLOOKUP(A52,'[2]Contribution Allocation_Report'!$A$9:$D$310,4,FALSE)*'PY_OPEB Amounts'!$C$323,0)</f>
        <v>8810241</v>
      </c>
      <c r="D52" s="120">
        <f>ROUND(VLOOKUP(A52,'[2]Contribution Allocation_Report'!$A$9:$D$310,4,FALSE)*'PY_OPEB Amounts'!$D$323,0)</f>
        <v>128817</v>
      </c>
      <c r="E52" s="120">
        <f>ROUND(VLOOKUP(A52,'[2]Contribution Allocation_Report'!$A$9:$D$310,4,FALSE)*'PY_OPEB Amounts'!$E$323,0)</f>
        <v>1763892</v>
      </c>
      <c r="F52" s="120">
        <f>INDEX('[2]Change in Proportion Layers'!$Z$8:$Z$321,MATCH('PY_OPEB Amounts'!A52,'[2]Change in Proportion Layers'!$A$8:$A$321,0))</f>
        <v>478279</v>
      </c>
      <c r="G52" s="120">
        <f t="shared" si="1"/>
        <v>2370988</v>
      </c>
      <c r="H52" s="120"/>
      <c r="I52" s="120">
        <f>ROUND(VLOOKUP(A52,'[2]Contribution Allocation_Report'!$A$9:$D$310,4,FALSE)*'PY_OPEB Amounts'!$I$323,0)</f>
        <v>1405050</v>
      </c>
      <c r="J52" s="120">
        <f>ROUND(VLOOKUP(A52,'[2]Contribution Allocation_Report'!$A$9:$D$310,4,FALSE)*'PY_OPEB Amounts'!$J$323,0)</f>
        <v>252538</v>
      </c>
      <c r="K52" s="120">
        <f>ROUND(VLOOKUP(A52,'[2]Contribution Allocation_Report'!$A$9:$D$310,4,FALSE)*'PY_OPEB Amounts'!$K$323,0)</f>
        <v>3185214</v>
      </c>
      <c r="L52" s="120">
        <f>INDEX('[2]Change in Proportion Layers'!$AA$8:$AA$321,MATCH('PY_OPEB Amounts'!A52,'[2]Change in Proportion Layers'!$A$8:$A$321,0))</f>
        <v>1020602</v>
      </c>
      <c r="M52" s="120">
        <f t="shared" si="0"/>
        <v>5863404</v>
      </c>
      <c r="N52" s="121"/>
      <c r="O52" s="121">
        <f>ROUND(VLOOKUP(A52,'[2]Contribution Allocation_Report'!$A$9:$D$310,4,FALSE)*'PY_OPEB Amounts'!$O$323,0)</f>
        <v>-948789</v>
      </c>
      <c r="P52" s="121">
        <f>INDEX('[2]Change in Proportion Layers'!$X$8:$X$321,MATCH('PY_OPEB Amounts'!A52,'[2]Change in Proportion Layers'!$A$8:$A$321,0))</f>
        <v>-105494</v>
      </c>
      <c r="Q52" s="121">
        <f t="shared" si="2"/>
        <v>-1054283</v>
      </c>
    </row>
    <row r="53" spans="1:17" ht="12" customHeight="1">
      <c r="A53" s="166">
        <v>2020</v>
      </c>
      <c r="B53" s="167" t="s">
        <v>43</v>
      </c>
      <c r="C53" s="122">
        <f>ROUND(VLOOKUP(A53,'[2]Contribution Allocation_Report'!$A$9:$D$310,4,FALSE)*'PY_OPEB Amounts'!$C$323,0)</f>
        <v>227848168</v>
      </c>
      <c r="D53" s="122">
        <f>ROUND(VLOOKUP(A53,'[2]Contribution Allocation_Report'!$A$9:$D$310,4,FALSE)*'PY_OPEB Amounts'!$D$323,0)</f>
        <v>3331441</v>
      </c>
      <c r="E53" s="122">
        <f>ROUND(VLOOKUP(A53,'[2]Contribution Allocation_Report'!$A$9:$D$310,4,FALSE)*'PY_OPEB Amounts'!$E$323,0)</f>
        <v>45617313</v>
      </c>
      <c r="F53" s="122">
        <f>INDEX('[2]Change in Proportion Layers'!$Z$8:$Z$321,MATCH('PY_OPEB Amounts'!A53,'[2]Change in Proportion Layers'!$A$8:$A$321,0))</f>
        <v>2503396</v>
      </c>
      <c r="G53" s="122">
        <f t="shared" si="1"/>
        <v>51452150</v>
      </c>
      <c r="H53" s="122"/>
      <c r="I53" s="122">
        <f>ROUND(VLOOKUP(A53,'[2]Contribution Allocation_Report'!$A$9:$D$310,4,FALSE)*'PY_OPEB Amounts'!$I$323,0)</f>
        <v>36337044</v>
      </c>
      <c r="J53" s="122">
        <f>ROUND(VLOOKUP(A53,'[2]Contribution Allocation_Report'!$A$9:$D$310,4,FALSE)*'PY_OPEB Amounts'!$J$323,0)</f>
        <v>6531075</v>
      </c>
      <c r="K53" s="122">
        <f>ROUND(VLOOKUP(A53,'[2]Contribution Allocation_Report'!$A$9:$D$310,4,FALSE)*'PY_OPEB Amounts'!$K$323,0)</f>
        <v>82375190</v>
      </c>
      <c r="L53" s="131">
        <f>INDEX('[2]Change in Proportion Layers'!$AA$8:$AA$321,MATCH('PY_OPEB Amounts'!A53,'[2]Change in Proportion Layers'!$A$8:$A$321,0))</f>
        <v>7274415</v>
      </c>
      <c r="M53" s="122">
        <f t="shared" si="0"/>
        <v>132517724</v>
      </c>
      <c r="N53" s="123"/>
      <c r="O53" s="123">
        <f>ROUND(VLOOKUP(A53,'[2]Contribution Allocation_Report'!$A$9:$D$310,4,FALSE)*'PY_OPEB Amounts'!$O$323,0)</f>
        <v>-24537341</v>
      </c>
      <c r="P53" s="123">
        <f>INDEX('[2]Change in Proportion Layers'!$X$8:$X$321,MATCH('PY_OPEB Amounts'!A53,'[2]Change in Proportion Layers'!$A$8:$A$321,0))</f>
        <v>-1849857</v>
      </c>
      <c r="Q53" s="123">
        <f t="shared" si="2"/>
        <v>-26387198</v>
      </c>
    </row>
    <row r="54" spans="1:17" ht="12" customHeight="1">
      <c r="A54" s="164">
        <v>2040</v>
      </c>
      <c r="B54" s="168" t="s">
        <v>44</v>
      </c>
      <c r="C54" s="120">
        <f>ROUND(VLOOKUP(A54,'[2]Contribution Allocation_Report'!$A$9:$D$310,4,FALSE)*'PY_OPEB Amounts'!$C$323,0)</f>
        <v>2912289</v>
      </c>
      <c r="D54" s="120">
        <f>ROUND(VLOOKUP(A54,'[2]Contribution Allocation_Report'!$A$9:$D$310,4,FALSE)*'PY_OPEB Amounts'!$D$323,0)</f>
        <v>42581</v>
      </c>
      <c r="E54" s="120">
        <f>ROUND(VLOOKUP(A54,'[2]Contribution Allocation_Report'!$A$9:$D$310,4,FALSE)*'PY_OPEB Amounts'!$E$323,0)</f>
        <v>583067</v>
      </c>
      <c r="F54" s="120">
        <f>INDEX('[2]Change in Proportion Layers'!$Z$8:$Z$321,MATCH('PY_OPEB Amounts'!A54,'[2]Change in Proportion Layers'!$A$8:$A$321,0))</f>
        <v>50970</v>
      </c>
      <c r="G54" s="120">
        <f t="shared" si="1"/>
        <v>676618</v>
      </c>
      <c r="H54" s="120"/>
      <c r="I54" s="120">
        <f>ROUND(VLOOKUP(A54,'[2]Contribution Allocation_Report'!$A$9:$D$310,4,FALSE)*'PY_OPEB Amounts'!$I$323,0)</f>
        <v>464449</v>
      </c>
      <c r="J54" s="120">
        <f>ROUND(VLOOKUP(A54,'[2]Contribution Allocation_Report'!$A$9:$D$310,4,FALSE)*'PY_OPEB Amounts'!$J$323,0)</f>
        <v>83478</v>
      </c>
      <c r="K54" s="120">
        <f>ROUND(VLOOKUP(A54,'[2]Contribution Allocation_Report'!$A$9:$D$310,4,FALSE)*'PY_OPEB Amounts'!$K$323,0)</f>
        <v>1052896</v>
      </c>
      <c r="L54" s="130">
        <f>INDEX('[2]Change in Proportion Layers'!$AA$8:$AA$321,MATCH('PY_OPEB Amounts'!A54,'[2]Change in Proportion Layers'!$A$8:$A$321,0))</f>
        <v>266882</v>
      </c>
      <c r="M54" s="120">
        <f t="shared" si="0"/>
        <v>1867705</v>
      </c>
      <c r="N54" s="121"/>
      <c r="O54" s="121">
        <f>ROUND(VLOOKUP(A54,'[2]Contribution Allocation_Report'!$A$9:$D$310,4,FALSE)*'PY_OPEB Amounts'!$O$323,0)</f>
        <v>-313629</v>
      </c>
      <c r="P54" s="121">
        <f>INDEX('[2]Change in Proportion Layers'!$X$8:$X$321,MATCH('PY_OPEB Amounts'!A54,'[2]Change in Proportion Layers'!$A$8:$A$321,0))</f>
        <v>-56455</v>
      </c>
      <c r="Q54" s="121">
        <f t="shared" si="2"/>
        <v>-370084</v>
      </c>
    </row>
    <row r="55" spans="1:17" ht="12" customHeight="1">
      <c r="A55" s="166">
        <v>2060</v>
      </c>
      <c r="B55" s="167" t="s">
        <v>45</v>
      </c>
      <c r="C55" s="122">
        <f>ROUND(VLOOKUP(A55,'[2]Contribution Allocation_Report'!$A$9:$D$310,4,FALSE)*'PY_OPEB Amounts'!$C$323,0)</f>
        <v>3090955</v>
      </c>
      <c r="D55" s="122">
        <f>ROUND(VLOOKUP(A55,'[2]Contribution Allocation_Report'!$A$9:$D$310,4,FALSE)*'PY_OPEB Amounts'!$D$323,0)</f>
        <v>45194</v>
      </c>
      <c r="E55" s="122">
        <f>ROUND(VLOOKUP(A55,'[2]Contribution Allocation_Report'!$A$9:$D$310,4,FALSE)*'PY_OPEB Amounts'!$E$323,0)</f>
        <v>618838</v>
      </c>
      <c r="F55" s="122">
        <f>INDEX('[2]Change in Proportion Layers'!$Z$8:$Z$321,MATCH('PY_OPEB Amounts'!A55,'[2]Change in Proportion Layers'!$A$8:$A$321,0))</f>
        <v>721998</v>
      </c>
      <c r="G55" s="122">
        <f t="shared" si="1"/>
        <v>1386030</v>
      </c>
      <c r="H55" s="122"/>
      <c r="I55" s="122">
        <f>ROUND(VLOOKUP(A55,'[2]Contribution Allocation_Report'!$A$9:$D$310,4,FALSE)*'PY_OPEB Amounts'!$I$323,0)</f>
        <v>492943</v>
      </c>
      <c r="J55" s="122">
        <f>ROUND(VLOOKUP(A55,'[2]Contribution Allocation_Report'!$A$9:$D$310,4,FALSE)*'PY_OPEB Amounts'!$J$323,0)</f>
        <v>88600</v>
      </c>
      <c r="K55" s="122">
        <f>ROUND(VLOOKUP(A55,'[2]Contribution Allocation_Report'!$A$9:$D$310,4,FALSE)*'PY_OPEB Amounts'!$K$323,0)</f>
        <v>1117490</v>
      </c>
      <c r="L55" s="131">
        <f>INDEX('[2]Change in Proportion Layers'!$AA$8:$AA$321,MATCH('PY_OPEB Amounts'!A55,'[2]Change in Proportion Layers'!$A$8:$A$321,0))</f>
        <v>291953</v>
      </c>
      <c r="M55" s="122">
        <f t="shared" si="0"/>
        <v>1990986</v>
      </c>
      <c r="N55" s="123"/>
      <c r="O55" s="123">
        <f>ROUND(VLOOKUP(A55,'[2]Contribution Allocation_Report'!$A$9:$D$310,4,FALSE)*'PY_OPEB Amounts'!$O$323,0)</f>
        <v>-332870</v>
      </c>
      <c r="P55" s="123">
        <f>INDEX('[2]Change in Proportion Layers'!$X$8:$X$321,MATCH('PY_OPEB Amounts'!A55,'[2]Change in Proportion Layers'!$A$8:$A$321,0))</f>
        <v>67897</v>
      </c>
      <c r="Q55" s="123">
        <f t="shared" si="2"/>
        <v>-264973</v>
      </c>
    </row>
    <row r="56" spans="1:17" ht="12" customHeight="1">
      <c r="A56" s="164">
        <v>2090</v>
      </c>
      <c r="B56" s="168" t="s">
        <v>46</v>
      </c>
      <c r="C56" s="120">
        <f>ROUND(VLOOKUP(A56,'[2]Contribution Allocation_Report'!$A$9:$D$310,4,FALSE)*'PY_OPEB Amounts'!$C$323,0)</f>
        <v>2387149</v>
      </c>
      <c r="D56" s="120">
        <f>ROUND(VLOOKUP(A56,'[2]Contribution Allocation_Report'!$A$9:$D$310,4,FALSE)*'PY_OPEB Amounts'!$D$323,0)</f>
        <v>34903</v>
      </c>
      <c r="E56" s="120">
        <f>ROUND(VLOOKUP(A56,'[2]Contribution Allocation_Report'!$A$9:$D$310,4,FALSE)*'PY_OPEB Amounts'!$E$323,0)</f>
        <v>477929</v>
      </c>
      <c r="F56" s="120">
        <f>INDEX('[2]Change in Proportion Layers'!$Z$8:$Z$321,MATCH('PY_OPEB Amounts'!A56,'[2]Change in Proportion Layers'!$A$8:$A$321,0))</f>
        <v>0</v>
      </c>
      <c r="G56" s="120">
        <f t="shared" si="1"/>
        <v>512832</v>
      </c>
      <c r="H56" s="120"/>
      <c r="I56" s="120">
        <f>ROUND(VLOOKUP(A56,'[2]Contribution Allocation_Report'!$A$9:$D$310,4,FALSE)*'PY_OPEB Amounts'!$I$323,0)</f>
        <v>380701</v>
      </c>
      <c r="J56" s="120">
        <f>ROUND(VLOOKUP(A56,'[2]Contribution Allocation_Report'!$A$9:$D$310,4,FALSE)*'PY_OPEB Amounts'!$J$323,0)</f>
        <v>68426</v>
      </c>
      <c r="K56" s="120">
        <f>ROUND(VLOOKUP(A56,'[2]Contribution Allocation_Report'!$A$9:$D$310,4,FALSE)*'PY_OPEB Amounts'!$K$323,0)</f>
        <v>863039</v>
      </c>
      <c r="L56" s="130">
        <f>INDEX('[2]Change in Proportion Layers'!$AA$8:$AA$321,MATCH('PY_OPEB Amounts'!A56,'[2]Change in Proportion Layers'!$A$8:$A$321,0))</f>
        <v>887726</v>
      </c>
      <c r="M56" s="120">
        <f t="shared" si="0"/>
        <v>2199892</v>
      </c>
      <c r="N56" s="121"/>
      <c r="O56" s="121">
        <f>ROUND(VLOOKUP(A56,'[2]Contribution Allocation_Report'!$A$9:$D$310,4,FALSE)*'PY_OPEB Amounts'!$O$323,0)</f>
        <v>-257076</v>
      </c>
      <c r="P56" s="121">
        <f>INDEX('[2]Change in Proportion Layers'!$X$8:$X$321,MATCH('PY_OPEB Amounts'!A56,'[2]Change in Proportion Layers'!$A$8:$A$321,0))</f>
        <v>-382698</v>
      </c>
      <c r="Q56" s="121">
        <f t="shared" si="2"/>
        <v>-639774</v>
      </c>
    </row>
    <row r="57" spans="1:17" ht="12" customHeight="1">
      <c r="A57" s="166">
        <v>2110</v>
      </c>
      <c r="B57" s="167" t="s">
        <v>47</v>
      </c>
      <c r="C57" s="122">
        <f>ROUND(VLOOKUP(A57,'[2]Contribution Allocation_Report'!$A$9:$D$310,4,FALSE)*'PY_OPEB Amounts'!$C$323,0)</f>
        <v>20337323</v>
      </c>
      <c r="D57" s="122">
        <f>ROUND(VLOOKUP(A57,'[2]Contribution Allocation_Report'!$A$9:$D$310,4,FALSE)*'PY_OPEB Amounts'!$D$323,0)</f>
        <v>297358</v>
      </c>
      <c r="E57" s="122">
        <f>ROUND(VLOOKUP(A57,'[2]Contribution Allocation_Report'!$A$9:$D$310,4,FALSE)*'PY_OPEB Amounts'!$E$323,0)</f>
        <v>4071720</v>
      </c>
      <c r="F57" s="122">
        <f>INDEX('[2]Change in Proportion Layers'!$Z$8:$Z$321,MATCH('PY_OPEB Amounts'!A57,'[2]Change in Proportion Layers'!$A$8:$A$321,0))</f>
        <v>456869</v>
      </c>
      <c r="G57" s="122">
        <f t="shared" si="1"/>
        <v>4825947</v>
      </c>
      <c r="H57" s="122"/>
      <c r="I57" s="122">
        <f>ROUND(VLOOKUP(A57,'[2]Contribution Allocation_Report'!$A$9:$D$310,4,FALSE)*'PY_OPEB Amounts'!$I$323,0)</f>
        <v>3243380</v>
      </c>
      <c r="J57" s="122">
        <f>ROUND(VLOOKUP(A57,'[2]Contribution Allocation_Report'!$A$9:$D$310,4,FALSE)*'PY_OPEB Amounts'!$J$323,0)</f>
        <v>582952</v>
      </c>
      <c r="K57" s="122">
        <f>ROUND(VLOOKUP(A57,'[2]Contribution Allocation_Report'!$A$9:$D$310,4,FALSE)*'PY_OPEB Amounts'!$K$323,0)</f>
        <v>7352663</v>
      </c>
      <c r="L57" s="131">
        <f>INDEX('[2]Change in Proportion Layers'!$AA$8:$AA$321,MATCH('PY_OPEB Amounts'!A57,'[2]Change in Proportion Layers'!$A$8:$A$321,0))</f>
        <v>937579</v>
      </c>
      <c r="M57" s="122">
        <f t="shared" si="0"/>
        <v>12116574</v>
      </c>
      <c r="N57" s="123"/>
      <c r="O57" s="123">
        <f>ROUND(VLOOKUP(A57,'[2]Contribution Allocation_Report'!$A$9:$D$310,4,FALSE)*'PY_OPEB Amounts'!$O$323,0)</f>
        <v>-2190160</v>
      </c>
      <c r="P57" s="123">
        <f>INDEX('[2]Change in Proportion Layers'!$X$8:$X$321,MATCH('PY_OPEB Amounts'!A57,'[2]Change in Proportion Layers'!$A$8:$A$321,0))</f>
        <v>-13038</v>
      </c>
      <c r="Q57" s="123">
        <f t="shared" si="2"/>
        <v>-2203198</v>
      </c>
    </row>
    <row r="58" spans="1:17" ht="12" customHeight="1">
      <c r="A58" s="164">
        <v>2180</v>
      </c>
      <c r="B58" s="165" t="s">
        <v>48</v>
      </c>
      <c r="C58" s="126">
        <f>ROUND(VLOOKUP(A58,'[2]Contribution Allocation_Report'!$A$9:$D$310,4,FALSE)*'PY_OPEB Amounts'!$C$323,0)</f>
        <v>9460085</v>
      </c>
      <c r="D58" s="126">
        <f>ROUND(VLOOKUP(A58,'[2]Contribution Allocation_Report'!$A$9:$D$310,4,FALSE)*'PY_OPEB Amounts'!$D$323,0)</f>
        <v>138319</v>
      </c>
      <c r="E58" s="126">
        <f>ROUND(VLOOKUP(A58,'[2]Contribution Allocation_Report'!$A$9:$D$310,4,FALSE)*'PY_OPEB Amounts'!$E$323,0)</f>
        <v>1893997</v>
      </c>
      <c r="F58" s="126">
        <f>INDEX('[2]Change in Proportion Layers'!$Z$8:$Z$321,MATCH('PY_OPEB Amounts'!A58,'[2]Change in Proportion Layers'!$A$8:$A$321,0))</f>
        <v>288150</v>
      </c>
      <c r="G58" s="126">
        <f t="shared" si="1"/>
        <v>2320466</v>
      </c>
      <c r="H58" s="126"/>
      <c r="I58" s="126">
        <f>ROUND(VLOOKUP(A58,'[2]Contribution Allocation_Report'!$A$9:$D$310,4,FALSE)*'PY_OPEB Amounts'!$I$323,0)</f>
        <v>1508687</v>
      </c>
      <c r="J58" s="126">
        <f>ROUND(VLOOKUP(A58,'[2]Contribution Allocation_Report'!$A$9:$D$310,4,FALSE)*'PY_OPEB Amounts'!$J$323,0)</f>
        <v>271165</v>
      </c>
      <c r="K58" s="126">
        <f>ROUND(VLOOKUP(A58,'[2]Contribution Allocation_Report'!$A$9:$D$310,4,FALSE)*'PY_OPEB Amounts'!$K$323,0)</f>
        <v>3420156</v>
      </c>
      <c r="L58" s="128">
        <f>INDEX('[2]Change in Proportion Layers'!$AA$8:$AA$321,MATCH('PY_OPEB Amounts'!A58,'[2]Change in Proportion Layers'!$A$8:$A$321,0))</f>
        <v>920221</v>
      </c>
      <c r="M58" s="126">
        <f t="shared" si="0"/>
        <v>6120229</v>
      </c>
      <c r="N58" s="127"/>
      <c r="O58" s="127">
        <f>ROUND(VLOOKUP(A58,'[2]Contribution Allocation_Report'!$A$9:$D$310,4,FALSE)*'PY_OPEB Amounts'!$O$323,0)</f>
        <v>-1018772</v>
      </c>
      <c r="P58" s="127">
        <f>INDEX('[2]Change in Proportion Layers'!$X$8:$X$321,MATCH('PY_OPEB Amounts'!A58,'[2]Change in Proportion Layers'!$A$8:$A$321,0))</f>
        <v>-147527</v>
      </c>
      <c r="Q58" s="127">
        <f t="shared" si="2"/>
        <v>-1166299</v>
      </c>
    </row>
    <row r="59" spans="1:17" ht="12" customHeight="1">
      <c r="A59" s="166">
        <v>2210</v>
      </c>
      <c r="B59" s="167" t="s">
        <v>49</v>
      </c>
      <c r="C59" s="122">
        <f>ROUND(VLOOKUP(A59,'[2]Contribution Allocation_Report'!$A$9:$D$310,4,FALSE)*'PY_OPEB Amounts'!$C$323,0)</f>
        <v>4500211</v>
      </c>
      <c r="D59" s="122">
        <f>ROUND(VLOOKUP(A59,'[2]Contribution Allocation_Report'!$A$9:$D$310,4,FALSE)*'PY_OPEB Amounts'!$D$323,0)</f>
        <v>65799</v>
      </c>
      <c r="E59" s="122">
        <f>ROUND(VLOOKUP(A59,'[2]Contribution Allocation_Report'!$A$9:$D$310,4,FALSE)*'PY_OPEB Amounts'!$E$323,0)</f>
        <v>900984</v>
      </c>
      <c r="F59" s="122">
        <f>INDEX('[2]Change in Proportion Layers'!$Z$8:$Z$321,MATCH('PY_OPEB Amounts'!A59,'[2]Change in Proportion Layers'!$A$8:$A$321,0))</f>
        <v>42349</v>
      </c>
      <c r="G59" s="122">
        <f t="shared" si="1"/>
        <v>1009132</v>
      </c>
      <c r="H59" s="122"/>
      <c r="I59" s="122">
        <f>ROUND(VLOOKUP(A59,'[2]Contribution Allocation_Report'!$A$9:$D$310,4,FALSE)*'PY_OPEB Amounts'!$I$323,0)</f>
        <v>717690</v>
      </c>
      <c r="J59" s="122">
        <f>ROUND(VLOOKUP(A59,'[2]Contribution Allocation_Report'!$A$9:$D$310,4,FALSE)*'PY_OPEB Amounts'!$J$323,0)</f>
        <v>128995</v>
      </c>
      <c r="K59" s="122">
        <f>ROUND(VLOOKUP(A59,'[2]Contribution Allocation_Report'!$A$9:$D$310,4,FALSE)*'PY_OPEB Amounts'!$K$323,0)</f>
        <v>1626986</v>
      </c>
      <c r="L59" s="122">
        <f>INDEX('[2]Change in Proportion Layers'!$AA$8:$AA$321,MATCH('PY_OPEB Amounts'!A59,'[2]Change in Proportion Layers'!$A$8:$A$321,0))</f>
        <v>491166</v>
      </c>
      <c r="M59" s="122">
        <f t="shared" si="0"/>
        <v>2964837</v>
      </c>
      <c r="N59" s="123"/>
      <c r="O59" s="123">
        <f>ROUND(VLOOKUP(A59,'[2]Contribution Allocation_Report'!$A$9:$D$310,4,FALSE)*'PY_OPEB Amounts'!$O$323,0)</f>
        <v>-484635</v>
      </c>
      <c r="P59" s="123">
        <f>INDEX('[2]Change in Proportion Layers'!$X$8:$X$321,MATCH('PY_OPEB Amounts'!A59,'[2]Change in Proportion Layers'!$A$8:$A$321,0))</f>
        <v>-152822</v>
      </c>
      <c r="Q59" s="123">
        <f t="shared" si="2"/>
        <v>-637457</v>
      </c>
    </row>
    <row r="60" spans="1:17" ht="12" customHeight="1">
      <c r="A60" s="164">
        <v>2290</v>
      </c>
      <c r="B60" s="168" t="s">
        <v>50</v>
      </c>
      <c r="C60" s="120">
        <f>ROUND(VLOOKUP(A60,'[2]Contribution Allocation_Report'!$A$9:$D$310,4,FALSE)*'PY_OPEB Amounts'!$C$323,0)</f>
        <v>4422559</v>
      </c>
      <c r="D60" s="120">
        <f>ROUND(VLOOKUP(A60,'[2]Contribution Allocation_Report'!$A$9:$D$310,4,FALSE)*'PY_OPEB Amounts'!$D$323,0)</f>
        <v>64664</v>
      </c>
      <c r="E60" s="120">
        <f>ROUND(VLOOKUP(A60,'[2]Contribution Allocation_Report'!$A$9:$D$310,4,FALSE)*'PY_OPEB Amounts'!$E$323,0)</f>
        <v>885437</v>
      </c>
      <c r="F60" s="120">
        <f>INDEX('[2]Change in Proportion Layers'!$Z$8:$Z$321,MATCH('PY_OPEB Amounts'!A60,'[2]Change in Proportion Layers'!$A$8:$A$321,0))</f>
        <v>244459</v>
      </c>
      <c r="G60" s="120">
        <f t="shared" si="1"/>
        <v>1194560</v>
      </c>
      <c r="H60" s="120"/>
      <c r="I60" s="120">
        <f>ROUND(VLOOKUP(A60,'[2]Contribution Allocation_Report'!$A$9:$D$310,4,FALSE)*'PY_OPEB Amounts'!$I$323,0)</f>
        <v>705306</v>
      </c>
      <c r="J60" s="120">
        <f>ROUND(VLOOKUP(A60,'[2]Contribution Allocation_Report'!$A$9:$D$310,4,FALSE)*'PY_OPEB Amounts'!$J$323,0)</f>
        <v>126769</v>
      </c>
      <c r="K60" s="120">
        <f>ROUND(VLOOKUP(A60,'[2]Contribution Allocation_Report'!$A$9:$D$310,4,FALSE)*'PY_OPEB Amounts'!$K$323,0)</f>
        <v>1598912</v>
      </c>
      <c r="L60" s="120">
        <f>INDEX('[2]Change in Proportion Layers'!$AA$8:$AA$321,MATCH('PY_OPEB Amounts'!A60,'[2]Change in Proportion Layers'!$A$8:$A$321,0))</f>
        <v>223886</v>
      </c>
      <c r="M60" s="120">
        <f t="shared" si="0"/>
        <v>2654873</v>
      </c>
      <c r="N60" s="121"/>
      <c r="O60" s="121">
        <f>ROUND(VLOOKUP(A60,'[2]Contribution Allocation_Report'!$A$9:$D$310,4,FALSE)*'PY_OPEB Amounts'!$O$323,0)</f>
        <v>-476273</v>
      </c>
      <c r="P60" s="121">
        <f>INDEX('[2]Change in Proportion Layers'!$X$8:$X$321,MATCH('PY_OPEB Amounts'!A60,'[2]Change in Proportion Layers'!$A$8:$A$321,0))</f>
        <v>1397</v>
      </c>
      <c r="Q60" s="121">
        <f t="shared" si="2"/>
        <v>-474876</v>
      </c>
    </row>
    <row r="61" spans="1:17" ht="12" customHeight="1">
      <c r="A61" s="166">
        <v>2310</v>
      </c>
      <c r="B61" s="167" t="s">
        <v>51</v>
      </c>
      <c r="C61" s="122">
        <f>ROUND(VLOOKUP(A61,'[2]Contribution Allocation_Report'!$A$9:$D$310,4,FALSE)*'PY_OPEB Amounts'!$C$323,0)</f>
        <v>31053992</v>
      </c>
      <c r="D61" s="122">
        <f>ROUND(VLOOKUP(A61,'[2]Contribution Allocation_Report'!$A$9:$D$310,4,FALSE)*'PY_OPEB Amounts'!$D$323,0)</f>
        <v>454050</v>
      </c>
      <c r="E61" s="122">
        <f>ROUND(VLOOKUP(A61,'[2]Contribution Allocation_Report'!$A$9:$D$310,4,FALSE)*'PY_OPEB Amounts'!$E$323,0)</f>
        <v>6217297</v>
      </c>
      <c r="F61" s="122">
        <f>INDEX('[2]Change in Proportion Layers'!$Z$8:$Z$321,MATCH('PY_OPEB Amounts'!A61,'[2]Change in Proportion Layers'!$A$8:$A$321,0))</f>
        <v>2310046</v>
      </c>
      <c r="G61" s="122">
        <f t="shared" si="1"/>
        <v>8981393</v>
      </c>
      <c r="H61" s="122"/>
      <c r="I61" s="122">
        <f>ROUND(VLOOKUP(A61,'[2]Contribution Allocation_Report'!$A$9:$D$310,4,FALSE)*'PY_OPEB Amounts'!$I$323,0)</f>
        <v>4952466</v>
      </c>
      <c r="J61" s="122">
        <f>ROUND(VLOOKUP(A61,'[2]Contribution Allocation_Report'!$A$9:$D$310,4,FALSE)*'PY_OPEB Amounts'!$J$323,0)</f>
        <v>890136</v>
      </c>
      <c r="K61" s="122">
        <f>ROUND(VLOOKUP(A61,'[2]Contribution Allocation_Report'!$A$9:$D$310,4,FALSE)*'PY_OPEB Amounts'!$K$323,0)</f>
        <v>11227119</v>
      </c>
      <c r="L61" s="122">
        <f>INDEX('[2]Change in Proportion Layers'!$AA$8:$AA$321,MATCH('PY_OPEB Amounts'!A61,'[2]Change in Proportion Layers'!$A$8:$A$321,0))</f>
        <v>6463234</v>
      </c>
      <c r="M61" s="122">
        <f t="shared" si="0"/>
        <v>23532955</v>
      </c>
      <c r="N61" s="123"/>
      <c r="O61" s="123">
        <f>ROUND(VLOOKUP(A61,'[2]Contribution Allocation_Report'!$A$9:$D$310,4,FALSE)*'PY_OPEB Amounts'!$O$323,0)</f>
        <v>-3344255</v>
      </c>
      <c r="P61" s="123">
        <f>INDEX('[2]Change in Proportion Layers'!$X$8:$X$321,MATCH('PY_OPEB Amounts'!A61,'[2]Change in Proportion Layers'!$A$8:$A$321,0))</f>
        <v>-1095096</v>
      </c>
      <c r="Q61" s="123">
        <f t="shared" si="2"/>
        <v>-4439351</v>
      </c>
    </row>
    <row r="62" spans="1:17" ht="12" customHeight="1">
      <c r="A62" s="164">
        <v>2330</v>
      </c>
      <c r="B62" s="168" t="s">
        <v>52</v>
      </c>
      <c r="C62" s="120">
        <f>ROUND(VLOOKUP(A62,'[2]Contribution Allocation_Report'!$A$9:$D$310,4,FALSE)*'PY_OPEB Amounts'!$C$323,0)</f>
        <v>10431396</v>
      </c>
      <c r="D62" s="120">
        <f>ROUND(VLOOKUP(A62,'[2]Contribution Allocation_Report'!$A$9:$D$310,4,FALSE)*'PY_OPEB Amounts'!$D$323,0)</f>
        <v>152521</v>
      </c>
      <c r="E62" s="120">
        <f>ROUND(VLOOKUP(A62,'[2]Contribution Allocation_Report'!$A$9:$D$310,4,FALSE)*'PY_OPEB Amounts'!$E$323,0)</f>
        <v>2088462</v>
      </c>
      <c r="F62" s="120">
        <f>INDEX('[2]Change in Proportion Layers'!$Z$8:$Z$321,MATCH('PY_OPEB Amounts'!A62,'[2]Change in Proportion Layers'!$A$8:$A$321,0))</f>
        <v>995824</v>
      </c>
      <c r="G62" s="120">
        <f t="shared" si="1"/>
        <v>3236807</v>
      </c>
      <c r="H62" s="120"/>
      <c r="I62" s="120">
        <f>ROUND(VLOOKUP(A62,'[2]Contribution Allocation_Report'!$A$9:$D$310,4,FALSE)*'PY_OPEB Amounts'!$I$323,0)</f>
        <v>1663591</v>
      </c>
      <c r="J62" s="120">
        <f>ROUND(VLOOKUP(A62,'[2]Contribution Allocation_Report'!$A$9:$D$310,4,FALSE)*'PY_OPEB Amounts'!$J$323,0)</f>
        <v>299007</v>
      </c>
      <c r="K62" s="120">
        <f>ROUND(VLOOKUP(A62,'[2]Contribution Allocation_Report'!$A$9:$D$310,4,FALSE)*'PY_OPEB Amounts'!$K$323,0)</f>
        <v>3771319</v>
      </c>
      <c r="L62" s="120">
        <f>INDEX('[2]Change in Proportion Layers'!$AA$8:$AA$321,MATCH('PY_OPEB Amounts'!A62,'[2]Change in Proportion Layers'!$A$8:$A$321,0))</f>
        <v>3025442</v>
      </c>
      <c r="M62" s="120">
        <f t="shared" si="0"/>
        <v>8759359</v>
      </c>
      <c r="N62" s="121"/>
      <c r="O62" s="121">
        <f>ROUND(VLOOKUP(A62,'[2]Contribution Allocation_Report'!$A$9:$D$310,4,FALSE)*'PY_OPEB Amounts'!$O$323,0)</f>
        <v>-1123374</v>
      </c>
      <c r="P62" s="121">
        <f>INDEX('[2]Change in Proportion Layers'!$X$8:$X$321,MATCH('PY_OPEB Amounts'!A62,'[2]Change in Proportion Layers'!$A$8:$A$321,0))</f>
        <v>-396219</v>
      </c>
      <c r="Q62" s="121">
        <f t="shared" si="2"/>
        <v>-1519593</v>
      </c>
    </row>
    <row r="63" spans="1:17" ht="12" customHeight="1">
      <c r="A63" s="166">
        <v>2380</v>
      </c>
      <c r="B63" s="167" t="s">
        <v>53</v>
      </c>
      <c r="C63" s="122">
        <f>ROUND(VLOOKUP(A63,'[2]Contribution Allocation_Report'!$A$9:$D$310,4,FALSE)*'PY_OPEB Amounts'!$C$323,0)</f>
        <v>1529355</v>
      </c>
      <c r="D63" s="122">
        <f>ROUND(VLOOKUP(A63,'[2]Contribution Allocation_Report'!$A$9:$D$310,4,FALSE)*'PY_OPEB Amounts'!$D$323,0)</f>
        <v>22361</v>
      </c>
      <c r="E63" s="122">
        <f>ROUND(VLOOKUP(A63,'[2]Contribution Allocation_Report'!$A$9:$D$310,4,FALSE)*'PY_OPEB Amounts'!$E$323,0)</f>
        <v>306191</v>
      </c>
      <c r="F63" s="122">
        <f>INDEX('[2]Change in Proportion Layers'!$Z$8:$Z$321,MATCH('PY_OPEB Amounts'!A63,'[2]Change in Proportion Layers'!$A$8:$A$321,0))</f>
        <v>760142</v>
      </c>
      <c r="G63" s="122">
        <f t="shared" si="1"/>
        <v>1088694</v>
      </c>
      <c r="H63" s="122"/>
      <c r="I63" s="122">
        <f>ROUND(VLOOKUP(A63,'[2]Contribution Allocation_Report'!$A$9:$D$310,4,FALSE)*'PY_OPEB Amounts'!$I$323,0)</f>
        <v>243900</v>
      </c>
      <c r="J63" s="122">
        <f>ROUND(VLOOKUP(A63,'[2]Contribution Allocation_Report'!$A$9:$D$310,4,FALSE)*'PY_OPEB Amounts'!$J$323,0)</f>
        <v>43838</v>
      </c>
      <c r="K63" s="122">
        <f>ROUND(VLOOKUP(A63,'[2]Contribution Allocation_Report'!$A$9:$D$310,4,FALSE)*'PY_OPEB Amounts'!$K$323,0)</f>
        <v>552916</v>
      </c>
      <c r="L63" s="122">
        <f>INDEX('[2]Change in Proportion Layers'!$AA$8:$AA$321,MATCH('PY_OPEB Amounts'!A63,'[2]Change in Proportion Layers'!$A$8:$A$321,0))</f>
        <v>0</v>
      </c>
      <c r="M63" s="122">
        <f t="shared" si="0"/>
        <v>840654</v>
      </c>
      <c r="N63" s="123"/>
      <c r="O63" s="123">
        <f>ROUND(VLOOKUP(A63,'[2]Contribution Allocation_Report'!$A$9:$D$310,4,FALSE)*'PY_OPEB Amounts'!$O$323,0)</f>
        <v>-164699</v>
      </c>
      <c r="P63" s="123">
        <f>INDEX('[2]Change in Proportion Layers'!$X$8:$X$321,MATCH('PY_OPEB Amounts'!A63,'[2]Change in Proportion Layers'!$A$8:$A$321,0))</f>
        <v>208533</v>
      </c>
      <c r="Q63" s="123">
        <f t="shared" si="2"/>
        <v>43834</v>
      </c>
    </row>
    <row r="64" spans="1:17" ht="12" customHeight="1">
      <c r="A64" s="164">
        <v>2400</v>
      </c>
      <c r="B64" s="168" t="s">
        <v>54</v>
      </c>
      <c r="C64" s="120">
        <f>ROUND(VLOOKUP(A64,'[2]Contribution Allocation_Report'!$A$9:$D$310,4,FALSE)*'PY_OPEB Amounts'!$C$323,0)</f>
        <v>52977264</v>
      </c>
      <c r="D64" s="120">
        <f>ROUND(VLOOKUP(A64,'[2]Contribution Allocation_Report'!$A$9:$D$310,4,FALSE)*'PY_OPEB Amounts'!$D$323,0)</f>
        <v>774597</v>
      </c>
      <c r="E64" s="120">
        <f>ROUND(VLOOKUP(A64,'[2]Contribution Allocation_Report'!$A$9:$D$310,4,FALSE)*'PY_OPEB Amounts'!$E$323,0)</f>
        <v>10606539</v>
      </c>
      <c r="F64" s="130">
        <f>INDEX('[2]Change in Proportion Layers'!$Z$8:$Z$321,MATCH('PY_OPEB Amounts'!A64,'[2]Change in Proportion Layers'!$A$8:$A$321,0))</f>
        <v>4186639</v>
      </c>
      <c r="G64" s="120">
        <f t="shared" si="1"/>
        <v>15567775</v>
      </c>
      <c r="H64" s="120"/>
      <c r="I64" s="120">
        <f>ROUND(VLOOKUP(A64,'[2]Contribution Allocation_Report'!$A$9:$D$310,4,FALSE)*'PY_OPEB Amounts'!$I$323,0)</f>
        <v>8448772</v>
      </c>
      <c r="J64" s="120">
        <f>ROUND(VLOOKUP(A64,'[2]Contribution Allocation_Report'!$A$9:$D$310,4,FALSE)*'PY_OPEB Amounts'!$J$323,0)</f>
        <v>1518548</v>
      </c>
      <c r="K64" s="120">
        <f>ROUND(VLOOKUP(A64,'[2]Contribution Allocation_Report'!$A$9:$D$310,4,FALSE)*'PY_OPEB Amounts'!$K$323,0)</f>
        <v>19153159</v>
      </c>
      <c r="L64" s="120">
        <f>INDEX('[2]Change in Proportion Layers'!$AA$8:$AA$321,MATCH('PY_OPEB Amounts'!A64,'[2]Change in Proportion Layers'!$A$8:$A$321,0))</f>
        <v>4882659</v>
      </c>
      <c r="M64" s="120">
        <f t="shared" si="0"/>
        <v>34003138</v>
      </c>
      <c r="N64" s="121"/>
      <c r="O64" s="121">
        <f>ROUND(VLOOKUP(A64,'[2]Contribution Allocation_Report'!$A$9:$D$310,4,FALSE)*'PY_OPEB Amounts'!$O$323,0)</f>
        <v>-5705208</v>
      </c>
      <c r="P64" s="121">
        <f>INDEX('[2]Change in Proportion Layers'!$X$8:$X$321,MATCH('PY_OPEB Amounts'!A64,'[2]Change in Proportion Layers'!$A$8:$A$321,0))</f>
        <v>57824</v>
      </c>
      <c r="Q64" s="121">
        <f t="shared" si="2"/>
        <v>-5647384</v>
      </c>
    </row>
    <row r="65" spans="1:17" ht="12" customHeight="1">
      <c r="A65" s="166">
        <v>2410</v>
      </c>
      <c r="B65" s="167" t="s">
        <v>55</v>
      </c>
      <c r="C65" s="122">
        <f>ROUND(VLOOKUP(A65,'[2]Contribution Allocation_Report'!$A$9:$D$310,4,FALSE)*'PY_OPEB Amounts'!$C$323,0)</f>
        <v>6458957</v>
      </c>
      <c r="D65" s="122">
        <f>ROUND(VLOOKUP(A65,'[2]Contribution Allocation_Report'!$A$9:$D$310,4,FALSE)*'PY_OPEB Amounts'!$D$323,0)</f>
        <v>94438</v>
      </c>
      <c r="E65" s="122">
        <f>ROUND(VLOOKUP(A65,'[2]Contribution Allocation_Report'!$A$9:$D$310,4,FALSE)*'PY_OPEB Amounts'!$E$323,0)</f>
        <v>1293143</v>
      </c>
      <c r="F65" s="122">
        <f>INDEX('[2]Change in Proportion Layers'!$Z$8:$Z$321,MATCH('PY_OPEB Amounts'!A65,'[2]Change in Proportion Layers'!$A$8:$A$321,0))</f>
        <v>583332</v>
      </c>
      <c r="G65" s="122">
        <f t="shared" si="1"/>
        <v>1970913</v>
      </c>
      <c r="H65" s="122"/>
      <c r="I65" s="122">
        <f>ROUND(VLOOKUP(A65,'[2]Contribution Allocation_Report'!$A$9:$D$310,4,FALSE)*'PY_OPEB Amounts'!$I$323,0)</f>
        <v>1030069</v>
      </c>
      <c r="J65" s="122">
        <f>ROUND(VLOOKUP(A65,'[2]Contribution Allocation_Report'!$A$9:$D$310,4,FALSE)*'PY_OPEB Amounts'!$J$323,0)</f>
        <v>185141</v>
      </c>
      <c r="K65" s="122">
        <f>ROUND(VLOOKUP(A65,'[2]Contribution Allocation_Report'!$A$9:$D$310,4,FALSE)*'PY_OPEB Amounts'!$K$323,0)</f>
        <v>2335142</v>
      </c>
      <c r="L65" s="131">
        <f>INDEX('[2]Change in Proportion Layers'!$AA$8:$AA$321,MATCH('PY_OPEB Amounts'!A65,'[2]Change in Proportion Layers'!$A$8:$A$321,0))</f>
        <v>995022</v>
      </c>
      <c r="M65" s="122">
        <f t="shared" si="0"/>
        <v>4545374</v>
      </c>
      <c r="N65" s="123"/>
      <c r="O65" s="123">
        <f>ROUND(VLOOKUP(A65,'[2]Contribution Allocation_Report'!$A$9:$D$310,4,FALSE)*'PY_OPEB Amounts'!$O$323,0)</f>
        <v>-695576</v>
      </c>
      <c r="P65" s="123">
        <f>INDEX('[2]Change in Proportion Layers'!$X$8:$X$321,MATCH('PY_OPEB Amounts'!A65,'[2]Change in Proportion Layers'!$A$8:$A$321,0))</f>
        <v>-246193</v>
      </c>
      <c r="Q65" s="123">
        <f t="shared" si="2"/>
        <v>-941769</v>
      </c>
    </row>
    <row r="66" spans="1:17" ht="12" customHeight="1">
      <c r="A66" s="164">
        <v>2500</v>
      </c>
      <c r="B66" s="168" t="s">
        <v>56</v>
      </c>
      <c r="C66" s="120">
        <f>ROUND(VLOOKUP(A66,'[2]Contribution Allocation_Report'!$A$9:$D$310,4,FALSE)*'PY_OPEB Amounts'!$C$323,0)</f>
        <v>938737</v>
      </c>
      <c r="D66" s="120">
        <f>ROUND(VLOOKUP(A66,'[2]Contribution Allocation_Report'!$A$9:$D$310,4,FALSE)*'PY_OPEB Amounts'!$D$323,0)</f>
        <v>13726</v>
      </c>
      <c r="E66" s="120">
        <f>ROUND(VLOOKUP(A66,'[2]Contribution Allocation_Report'!$A$9:$D$310,4,FALSE)*'PY_OPEB Amounts'!$E$323,0)</f>
        <v>187944</v>
      </c>
      <c r="F66" s="130">
        <f>INDEX('[2]Change in Proportion Layers'!$Z$8:$Z$321,MATCH('PY_OPEB Amounts'!A66,'[2]Change in Proportion Layers'!$A$8:$A$321,0))</f>
        <v>113064</v>
      </c>
      <c r="G66" s="120">
        <f t="shared" si="1"/>
        <v>314734</v>
      </c>
      <c r="H66" s="120"/>
      <c r="I66" s="120">
        <f>ROUND(VLOOKUP(A66,'[2]Contribution Allocation_Report'!$A$9:$D$310,4,FALSE)*'PY_OPEB Amounts'!$I$323,0)</f>
        <v>149709</v>
      </c>
      <c r="J66" s="120">
        <f>ROUND(VLOOKUP(A66,'[2]Contribution Allocation_Report'!$A$9:$D$310,4,FALSE)*'PY_OPEB Amounts'!$J$323,0)</f>
        <v>26908</v>
      </c>
      <c r="K66" s="120">
        <f>ROUND(VLOOKUP(A66,'[2]Contribution Allocation_Report'!$A$9:$D$310,4,FALSE)*'PY_OPEB Amounts'!$K$323,0)</f>
        <v>339387</v>
      </c>
      <c r="L66" s="120">
        <f>INDEX('[2]Change in Proportion Layers'!$AA$8:$AA$321,MATCH('PY_OPEB Amounts'!A66,'[2]Change in Proportion Layers'!$A$8:$A$321,0))</f>
        <v>177107</v>
      </c>
      <c r="M66" s="120">
        <f t="shared" si="0"/>
        <v>693111</v>
      </c>
      <c r="N66" s="121"/>
      <c r="O66" s="121">
        <f>ROUND(VLOOKUP(A66,'[2]Contribution Allocation_Report'!$A$9:$D$310,4,FALSE)*'PY_OPEB Amounts'!$O$323,0)</f>
        <v>-101094</v>
      </c>
      <c r="P66" s="121">
        <f>INDEX('[2]Change in Proportion Layers'!$X$8:$X$321,MATCH('PY_OPEB Amounts'!A66,'[2]Change in Proportion Layers'!$A$8:$A$321,0))</f>
        <v>-4833</v>
      </c>
      <c r="Q66" s="121">
        <f t="shared" si="2"/>
        <v>-105927</v>
      </c>
    </row>
    <row r="67" spans="1:17" ht="12" customHeight="1">
      <c r="A67" s="166">
        <v>2550</v>
      </c>
      <c r="B67" s="167" t="s">
        <v>57</v>
      </c>
      <c r="C67" s="122">
        <f>ROUND(VLOOKUP(A67,'[2]Contribution Allocation_Report'!$A$9:$D$310,4,FALSE)*'PY_OPEB Amounts'!$C$323,0)</f>
        <v>3884916</v>
      </c>
      <c r="D67" s="122">
        <f>ROUND(VLOOKUP(A67,'[2]Contribution Allocation_Report'!$A$9:$D$310,4,FALSE)*'PY_OPEB Amounts'!$D$323,0)</f>
        <v>56803</v>
      </c>
      <c r="E67" s="122">
        <f>ROUND(VLOOKUP(A67,'[2]Contribution Allocation_Report'!$A$9:$D$310,4,FALSE)*'PY_OPEB Amounts'!$E$323,0)</f>
        <v>777796</v>
      </c>
      <c r="F67" s="122">
        <f>INDEX('[2]Change in Proportion Layers'!$Z$8:$Z$321,MATCH('PY_OPEB Amounts'!A67,'[2]Change in Proportion Layers'!$A$8:$A$321,0))</f>
        <v>16226</v>
      </c>
      <c r="G67" s="122">
        <f t="shared" si="1"/>
        <v>850825</v>
      </c>
      <c r="H67" s="122"/>
      <c r="I67" s="122">
        <f>ROUND(VLOOKUP(A67,'[2]Contribution Allocation_Report'!$A$9:$D$310,4,FALSE)*'PY_OPEB Amounts'!$I$323,0)</f>
        <v>619563</v>
      </c>
      <c r="J67" s="122">
        <f>ROUND(VLOOKUP(A67,'[2]Contribution Allocation_Report'!$A$9:$D$310,4,FALSE)*'PY_OPEB Amounts'!$J$323,0)</f>
        <v>111358</v>
      </c>
      <c r="K67" s="122">
        <f>ROUND(VLOOKUP(A67,'[2]Contribution Allocation_Report'!$A$9:$D$310,4,FALSE)*'PY_OPEB Amounts'!$K$323,0)</f>
        <v>1404535</v>
      </c>
      <c r="L67" s="122">
        <f>INDEX('[2]Change in Proportion Layers'!$AA$8:$AA$321,MATCH('PY_OPEB Amounts'!A67,'[2]Change in Proportion Layers'!$A$8:$A$321,0))</f>
        <v>457747</v>
      </c>
      <c r="M67" s="122">
        <f t="shared" si="0"/>
        <v>2593203</v>
      </c>
      <c r="N67" s="123"/>
      <c r="O67" s="123">
        <f>ROUND(VLOOKUP(A67,'[2]Contribution Allocation_Report'!$A$9:$D$310,4,FALSE)*'PY_OPEB Amounts'!$O$323,0)</f>
        <v>-418373</v>
      </c>
      <c r="P67" s="123">
        <f>INDEX('[2]Change in Proportion Layers'!$X$8:$X$321,MATCH('PY_OPEB Amounts'!A67,'[2]Change in Proportion Layers'!$A$8:$A$321,0))</f>
        <v>-124154</v>
      </c>
      <c r="Q67" s="123">
        <f t="shared" si="2"/>
        <v>-542527</v>
      </c>
    </row>
    <row r="68" spans="1:17" ht="12" customHeight="1">
      <c r="A68" s="164">
        <v>2570</v>
      </c>
      <c r="B68" s="168" t="s">
        <v>58</v>
      </c>
      <c r="C68" s="120">
        <f>ROUND(VLOOKUP(A68,'[2]Contribution Allocation_Report'!$A$9:$D$310,4,FALSE)*'PY_OPEB Amounts'!$C$323,0)</f>
        <v>2486517</v>
      </c>
      <c r="D68" s="120">
        <f>ROUND(VLOOKUP(A68,'[2]Contribution Allocation_Report'!$A$9:$D$310,4,FALSE)*'PY_OPEB Amounts'!$D$323,0)</f>
        <v>36356</v>
      </c>
      <c r="E68" s="120">
        <f>ROUND(VLOOKUP(A68,'[2]Contribution Allocation_Report'!$A$9:$D$310,4,FALSE)*'PY_OPEB Amounts'!$E$323,0)</f>
        <v>497824</v>
      </c>
      <c r="F68" s="120">
        <f>INDEX('[2]Change in Proportion Layers'!$Z$8:$Z$321,MATCH('PY_OPEB Amounts'!A68,'[2]Change in Proportion Layers'!$A$8:$A$321,0))</f>
        <v>0</v>
      </c>
      <c r="G68" s="120">
        <f t="shared" si="1"/>
        <v>534180</v>
      </c>
      <c r="H68" s="120"/>
      <c r="I68" s="120">
        <f>ROUND(VLOOKUP(A68,'[2]Contribution Allocation_Report'!$A$9:$D$310,4,FALSE)*'PY_OPEB Amounts'!$I$323,0)</f>
        <v>396548</v>
      </c>
      <c r="J68" s="120">
        <f>ROUND(VLOOKUP(A68,'[2]Contribution Allocation_Report'!$A$9:$D$310,4,FALSE)*'PY_OPEB Amounts'!$J$323,0)</f>
        <v>71274</v>
      </c>
      <c r="K68" s="120">
        <f>ROUND(VLOOKUP(A68,'[2]Contribution Allocation_Report'!$A$9:$D$310,4,FALSE)*'PY_OPEB Amounts'!$K$323,0)</f>
        <v>898964</v>
      </c>
      <c r="L68" s="120">
        <f>INDEX('[2]Change in Proportion Layers'!$AA$8:$AA$321,MATCH('PY_OPEB Amounts'!A68,'[2]Change in Proportion Layers'!$A$8:$A$321,0))</f>
        <v>291033</v>
      </c>
      <c r="M68" s="120">
        <f t="shared" si="0"/>
        <v>1657819</v>
      </c>
      <c r="N68" s="121"/>
      <c r="O68" s="121">
        <f>ROUND(VLOOKUP(A68,'[2]Contribution Allocation_Report'!$A$9:$D$310,4,FALSE)*'PY_OPEB Amounts'!$O$323,0)</f>
        <v>-267777</v>
      </c>
      <c r="P68" s="121">
        <f>INDEX('[2]Change in Proportion Layers'!$X$8:$X$321,MATCH('PY_OPEB Amounts'!A68,'[2]Change in Proportion Layers'!$A$8:$A$321,0))</f>
        <v>-92117</v>
      </c>
      <c r="Q68" s="121">
        <f t="shared" si="2"/>
        <v>-359894</v>
      </c>
    </row>
    <row r="69" spans="1:17" ht="12" customHeight="1">
      <c r="A69" s="166">
        <v>2620</v>
      </c>
      <c r="B69" s="167" t="s">
        <v>59</v>
      </c>
      <c r="C69" s="122">
        <f>ROUND(VLOOKUP(A69,'[2]Contribution Allocation_Report'!$A$9:$D$310,4,FALSE)*'PY_OPEB Amounts'!$C$323,0)</f>
        <v>23314432</v>
      </c>
      <c r="D69" s="122">
        <f>ROUND(VLOOKUP(A69,'[2]Contribution Allocation_Report'!$A$9:$D$310,4,FALSE)*'PY_OPEB Amounts'!$D$323,0)</f>
        <v>340888</v>
      </c>
      <c r="E69" s="122">
        <f>ROUND(VLOOKUP(A69,'[2]Contribution Allocation_Report'!$A$9:$D$310,4,FALSE)*'PY_OPEB Amounts'!$E$323,0)</f>
        <v>4667765</v>
      </c>
      <c r="F69" s="122">
        <f>INDEX('[2]Change in Proportion Layers'!$Z$8:$Z$321,MATCH('PY_OPEB Amounts'!A69,'[2]Change in Proportion Layers'!$A$8:$A$321,0))</f>
        <v>558093</v>
      </c>
      <c r="G69" s="122">
        <f t="shared" si="1"/>
        <v>5566746</v>
      </c>
      <c r="H69" s="122"/>
      <c r="I69" s="122">
        <f>ROUND(VLOOKUP(A69,'[2]Contribution Allocation_Report'!$A$9:$D$310,4,FALSE)*'PY_OPEB Amounts'!$I$323,0)</f>
        <v>3718167</v>
      </c>
      <c r="J69" s="122">
        <f>ROUND(VLOOKUP(A69,'[2]Contribution Allocation_Report'!$A$9:$D$310,4,FALSE)*'PY_OPEB Amounts'!$J$323,0)</f>
        <v>668288</v>
      </c>
      <c r="K69" s="122">
        <f>ROUND(VLOOKUP(A69,'[2]Contribution Allocation_Report'!$A$9:$D$310,4,FALSE)*'PY_OPEB Amounts'!$K$323,0)</f>
        <v>8428994</v>
      </c>
      <c r="L69" s="122">
        <f>INDEX('[2]Change in Proportion Layers'!$AA$8:$AA$321,MATCH('PY_OPEB Amounts'!A69,'[2]Change in Proportion Layers'!$A$8:$A$321,0))</f>
        <v>1479481</v>
      </c>
      <c r="M69" s="122">
        <f t="shared" si="0"/>
        <v>14294930</v>
      </c>
      <c r="N69" s="123"/>
      <c r="O69" s="123">
        <f>ROUND(VLOOKUP(A69,'[2]Contribution Allocation_Report'!$A$9:$D$310,4,FALSE)*'PY_OPEB Amounts'!$O$323,0)</f>
        <v>-2510769</v>
      </c>
      <c r="P69" s="123">
        <f>INDEX('[2]Change in Proportion Layers'!$X$8:$X$321,MATCH('PY_OPEB Amounts'!A69,'[2]Change in Proportion Layers'!$A$8:$A$321,0))</f>
        <v>-433081</v>
      </c>
      <c r="Q69" s="123">
        <f t="shared" si="2"/>
        <v>-2943850</v>
      </c>
    </row>
    <row r="70" spans="1:17" ht="12" customHeight="1">
      <c r="A70" s="164">
        <v>2630</v>
      </c>
      <c r="B70" s="168" t="s">
        <v>60</v>
      </c>
      <c r="C70" s="120">
        <f>ROUND(VLOOKUP(A70,'[2]Contribution Allocation_Report'!$A$9:$D$310,4,FALSE)*'PY_OPEB Amounts'!$C$323,0)</f>
        <v>17939974</v>
      </c>
      <c r="D70" s="120">
        <f>ROUND(VLOOKUP(A70,'[2]Contribution Allocation_Report'!$A$9:$D$310,4,FALSE)*'PY_OPEB Amounts'!$D$323,0)</f>
        <v>262306</v>
      </c>
      <c r="E70" s="120">
        <f>ROUND(VLOOKUP(A70,'[2]Contribution Allocation_Report'!$A$9:$D$310,4,FALSE)*'PY_OPEB Amounts'!$E$323,0)</f>
        <v>3591749</v>
      </c>
      <c r="F70" s="120">
        <f>INDEX('[2]Change in Proportion Layers'!$Z$8:$Z$321,MATCH('PY_OPEB Amounts'!A70,'[2]Change in Proportion Layers'!$A$8:$A$321,0))</f>
        <v>813210</v>
      </c>
      <c r="G70" s="120">
        <f t="shared" si="1"/>
        <v>4667265</v>
      </c>
      <c r="H70" s="120"/>
      <c r="I70" s="120">
        <f>ROUND(VLOOKUP(A70,'[2]Contribution Allocation_Report'!$A$9:$D$310,4,FALSE)*'PY_OPEB Amounts'!$I$323,0)</f>
        <v>2861053</v>
      </c>
      <c r="J70" s="120">
        <f>ROUND(VLOOKUP(A70,'[2]Contribution Allocation_Report'!$A$9:$D$310,4,FALSE)*'PY_OPEB Amounts'!$J$323,0)</f>
        <v>514234</v>
      </c>
      <c r="K70" s="120">
        <f>ROUND(VLOOKUP(A70,'[2]Contribution Allocation_Report'!$A$9:$D$310,4,FALSE)*'PY_OPEB Amounts'!$K$323,0)</f>
        <v>6485937</v>
      </c>
      <c r="L70" s="130">
        <f>INDEX('[2]Change in Proportion Layers'!$AA$8:$AA$321,MATCH('PY_OPEB Amounts'!A70,'[2]Change in Proportion Layers'!$A$8:$A$321,0))</f>
        <v>1610806</v>
      </c>
      <c r="M70" s="120">
        <f t="shared" si="0"/>
        <v>11472030</v>
      </c>
      <c r="N70" s="121"/>
      <c r="O70" s="121">
        <f>ROUND(VLOOKUP(A70,'[2]Contribution Allocation_Report'!$A$9:$D$310,4,FALSE)*'PY_OPEB Amounts'!$O$323,0)</f>
        <v>-1931985</v>
      </c>
      <c r="P70" s="121">
        <f>INDEX('[2]Change in Proportion Layers'!$X$8:$X$321,MATCH('PY_OPEB Amounts'!A70,'[2]Change in Proportion Layers'!$A$8:$A$321,0))</f>
        <v>27436</v>
      </c>
      <c r="Q70" s="121">
        <f t="shared" si="2"/>
        <v>-1904549</v>
      </c>
    </row>
    <row r="71" spans="1:17" ht="12" customHeight="1">
      <c r="A71" s="166">
        <v>2690</v>
      </c>
      <c r="B71" s="167" t="s">
        <v>61</v>
      </c>
      <c r="C71" s="122">
        <f>ROUND(VLOOKUP(A71,'[2]Contribution Allocation_Report'!$A$9:$D$310,4,FALSE)*'PY_OPEB Amounts'!$C$323,0)</f>
        <v>44871487</v>
      </c>
      <c r="D71" s="122">
        <f>ROUND(VLOOKUP(A71,'[2]Contribution Allocation_Report'!$A$9:$D$310,4,FALSE)*'PY_OPEB Amounts'!$D$323,0)</f>
        <v>656080</v>
      </c>
      <c r="E71" s="122">
        <f>ROUND(VLOOKUP(A71,'[2]Contribution Allocation_Report'!$A$9:$D$310,4,FALSE)*'PY_OPEB Amounts'!$E$323,0)</f>
        <v>8983687</v>
      </c>
      <c r="F71" s="122">
        <f>INDEX('[2]Change in Proportion Layers'!$Z$8:$Z$321,MATCH('PY_OPEB Amounts'!A71,'[2]Change in Proportion Layers'!$A$8:$A$321,0))</f>
        <v>1202752</v>
      </c>
      <c r="G71" s="122">
        <f t="shared" si="1"/>
        <v>10842519</v>
      </c>
      <c r="H71" s="122"/>
      <c r="I71" s="122">
        <f>ROUND(VLOOKUP(A71,'[2]Contribution Allocation_Report'!$A$9:$D$310,4,FALSE)*'PY_OPEB Amounts'!$I$323,0)</f>
        <v>7156069</v>
      </c>
      <c r="J71" s="122">
        <f>ROUND(VLOOKUP(A71,'[2]Contribution Allocation_Report'!$A$9:$D$310,4,FALSE)*'PY_OPEB Amounts'!$J$323,0)</f>
        <v>1286203</v>
      </c>
      <c r="K71" s="122">
        <f>ROUND(VLOOKUP(A71,'[2]Contribution Allocation_Report'!$A$9:$D$310,4,FALSE)*'PY_OPEB Amounts'!$K$323,0)</f>
        <v>16222633</v>
      </c>
      <c r="L71" s="122">
        <f>INDEX('[2]Change in Proportion Layers'!$AA$8:$AA$321,MATCH('PY_OPEB Amounts'!A71,'[2]Change in Proportion Layers'!$A$8:$A$321,0))</f>
        <v>9844155</v>
      </c>
      <c r="M71" s="122">
        <f t="shared" si="0"/>
        <v>34509060</v>
      </c>
      <c r="N71" s="123"/>
      <c r="O71" s="123">
        <f>ROUND(VLOOKUP(A71,'[2]Contribution Allocation_Report'!$A$9:$D$310,4,FALSE)*'PY_OPEB Amounts'!$O$323,0)</f>
        <v>-4832284</v>
      </c>
      <c r="P71" s="123">
        <f>INDEX('[2]Change in Proportion Layers'!$X$8:$X$321,MATCH('PY_OPEB Amounts'!A71,'[2]Change in Proportion Layers'!$A$8:$A$321,0))</f>
        <v>-1770036</v>
      </c>
      <c r="Q71" s="123">
        <f t="shared" si="2"/>
        <v>-6602320</v>
      </c>
    </row>
    <row r="72" spans="1:17" ht="12" customHeight="1">
      <c r="A72" s="164">
        <v>2710</v>
      </c>
      <c r="B72" s="168" t="s">
        <v>62</v>
      </c>
      <c r="C72" s="120">
        <f>ROUND(VLOOKUP(A72,'[2]Contribution Allocation_Report'!$A$9:$D$310,4,FALSE)*'PY_OPEB Amounts'!$C$323,0)</f>
        <v>803832</v>
      </c>
      <c r="D72" s="120">
        <f>ROUND(VLOOKUP(A72,'[2]Contribution Allocation_Report'!$A$9:$D$310,4,FALSE)*'PY_OPEB Amounts'!$D$323,0)</f>
        <v>11753</v>
      </c>
      <c r="E72" s="120">
        <f>ROUND(VLOOKUP(A72,'[2]Contribution Allocation_Report'!$A$9:$D$310,4,FALSE)*'PY_OPEB Amounts'!$E$323,0)</f>
        <v>160935</v>
      </c>
      <c r="F72" s="120">
        <f>INDEX('[2]Change in Proportion Layers'!$Z$8:$Z$321,MATCH('PY_OPEB Amounts'!A72,'[2]Change in Proportion Layers'!$A$8:$A$321,0))</f>
        <v>16060</v>
      </c>
      <c r="G72" s="120">
        <f t="shared" si="1"/>
        <v>188748</v>
      </c>
      <c r="H72" s="120"/>
      <c r="I72" s="120">
        <f>ROUND(VLOOKUP(A72,'[2]Contribution Allocation_Report'!$A$9:$D$310,4,FALSE)*'PY_OPEB Amounts'!$I$323,0)</f>
        <v>128195</v>
      </c>
      <c r="J72" s="120">
        <f>ROUND(VLOOKUP(A72,'[2]Contribution Allocation_Report'!$A$9:$D$310,4,FALSE)*'PY_OPEB Amounts'!$J$323,0)</f>
        <v>23041</v>
      </c>
      <c r="K72" s="120">
        <f>ROUND(VLOOKUP(A72,'[2]Contribution Allocation_Report'!$A$9:$D$310,4,FALSE)*'PY_OPEB Amounts'!$K$323,0)</f>
        <v>290614</v>
      </c>
      <c r="L72" s="120">
        <f>INDEX('[2]Change in Proportion Layers'!$AA$8:$AA$321,MATCH('PY_OPEB Amounts'!A72,'[2]Change in Proportion Layers'!$A$8:$A$321,0))</f>
        <v>387057</v>
      </c>
      <c r="M72" s="120">
        <f t="shared" si="0"/>
        <v>828907</v>
      </c>
      <c r="N72" s="121"/>
      <c r="O72" s="121">
        <f>ROUND(VLOOKUP(A72,'[2]Contribution Allocation_Report'!$A$9:$D$310,4,FALSE)*'PY_OPEB Amounts'!$O$323,0)</f>
        <v>-86566</v>
      </c>
      <c r="P72" s="121">
        <f>INDEX('[2]Change in Proportion Layers'!$X$8:$X$321,MATCH('PY_OPEB Amounts'!A72,'[2]Change in Proportion Layers'!$A$8:$A$321,0))</f>
        <v>-91713</v>
      </c>
      <c r="Q72" s="121">
        <f t="shared" si="2"/>
        <v>-178279</v>
      </c>
    </row>
    <row r="73" spans="1:17" ht="12" customHeight="1">
      <c r="A73" s="166">
        <v>2730</v>
      </c>
      <c r="B73" s="167" t="s">
        <v>63</v>
      </c>
      <c r="C73" s="122">
        <f>ROUND(VLOOKUP(A73,'[2]Contribution Allocation_Report'!$A$9:$D$310,4,FALSE)*'PY_OPEB Amounts'!$C$323,0)</f>
        <v>3309763</v>
      </c>
      <c r="D73" s="122">
        <f>ROUND(VLOOKUP(A73,'[2]Contribution Allocation_Report'!$A$9:$D$310,4,FALSE)*'PY_OPEB Amounts'!$D$323,0)</f>
        <v>48393</v>
      </c>
      <c r="E73" s="122">
        <f>ROUND(VLOOKUP(A73,'[2]Contribution Allocation_Report'!$A$9:$D$310,4,FALSE)*'PY_OPEB Amounts'!$E$323,0)</f>
        <v>662645</v>
      </c>
      <c r="F73" s="122">
        <f>INDEX('[2]Change in Proportion Layers'!$Z$8:$Z$321,MATCH('PY_OPEB Amounts'!A73,'[2]Change in Proportion Layers'!$A$8:$A$321,0))</f>
        <v>113738</v>
      </c>
      <c r="G73" s="122">
        <f t="shared" si="1"/>
        <v>824776</v>
      </c>
      <c r="H73" s="122"/>
      <c r="I73" s="122">
        <f>ROUND(VLOOKUP(A73,'[2]Contribution Allocation_Report'!$A$9:$D$310,4,FALSE)*'PY_OPEB Amounts'!$I$323,0)</f>
        <v>527838</v>
      </c>
      <c r="J73" s="122">
        <f>ROUND(VLOOKUP(A73,'[2]Contribution Allocation_Report'!$A$9:$D$310,4,FALSE)*'PY_OPEB Amounts'!$J$323,0)</f>
        <v>94872</v>
      </c>
      <c r="K73" s="122">
        <f>ROUND(VLOOKUP(A73,'[2]Contribution Allocation_Report'!$A$9:$D$310,4,FALSE)*'PY_OPEB Amounts'!$K$323,0)</f>
        <v>1196597</v>
      </c>
      <c r="L73" s="122">
        <f>INDEX('[2]Change in Proportion Layers'!$AA$8:$AA$321,MATCH('PY_OPEB Amounts'!A73,'[2]Change in Proportion Layers'!$A$8:$A$321,0))</f>
        <v>397117</v>
      </c>
      <c r="M73" s="122">
        <f t="shared" si="0"/>
        <v>2216424</v>
      </c>
      <c r="N73" s="123"/>
      <c r="O73" s="123">
        <f>ROUND(VLOOKUP(A73,'[2]Contribution Allocation_Report'!$A$9:$D$310,4,FALSE)*'PY_OPEB Amounts'!$O$323,0)</f>
        <v>-356434</v>
      </c>
      <c r="P73" s="123">
        <f>INDEX('[2]Change in Proportion Layers'!$X$8:$X$321,MATCH('PY_OPEB Amounts'!A73,'[2]Change in Proportion Layers'!$A$8:$A$321,0))</f>
        <v>-106168</v>
      </c>
      <c r="Q73" s="123">
        <f t="shared" si="2"/>
        <v>-462602</v>
      </c>
    </row>
    <row r="74" spans="1:17" ht="12" customHeight="1">
      <c r="A74" s="164">
        <v>2950</v>
      </c>
      <c r="B74" s="168" t="s">
        <v>64</v>
      </c>
      <c r="C74" s="120">
        <f>ROUND(VLOOKUP(A74,'[2]Contribution Allocation_Report'!$A$9:$D$310,4,FALSE)*'PY_OPEB Amounts'!$C$323,0)</f>
        <v>2803049</v>
      </c>
      <c r="D74" s="120">
        <f>ROUND(VLOOKUP(A74,'[2]Contribution Allocation_Report'!$A$9:$D$310,4,FALSE)*'PY_OPEB Amounts'!$D$323,0)</f>
        <v>40984</v>
      </c>
      <c r="E74" s="120">
        <f>ROUND(VLOOKUP(A74,'[2]Contribution Allocation_Report'!$A$9:$D$310,4,FALSE)*'PY_OPEB Amounts'!$E$323,0)</f>
        <v>561196</v>
      </c>
      <c r="F74" s="120">
        <f>INDEX('[2]Change in Proportion Layers'!$Z$8:$Z$321,MATCH('PY_OPEB Amounts'!A74,'[2]Change in Proportion Layers'!$A$8:$A$321,0))</f>
        <v>451242</v>
      </c>
      <c r="G74" s="120">
        <f t="shared" si="1"/>
        <v>1053422</v>
      </c>
      <c r="H74" s="120"/>
      <c r="I74" s="120">
        <f>ROUND(VLOOKUP(A74,'[2]Contribution Allocation_Report'!$A$9:$D$310,4,FALSE)*'PY_OPEB Amounts'!$I$323,0)</f>
        <v>447028</v>
      </c>
      <c r="J74" s="120">
        <f>ROUND(VLOOKUP(A74,'[2]Contribution Allocation_Report'!$A$9:$D$310,4,FALSE)*'PY_OPEB Amounts'!$J$323,0)</f>
        <v>80347</v>
      </c>
      <c r="K74" s="120">
        <f>ROUND(VLOOKUP(A74,'[2]Contribution Allocation_Report'!$A$9:$D$310,4,FALSE)*'PY_OPEB Amounts'!$K$323,0)</f>
        <v>1013402</v>
      </c>
      <c r="L74" s="130">
        <f>INDEX('[2]Change in Proportion Layers'!$AA$8:$AA$321,MATCH('PY_OPEB Amounts'!A74,'[2]Change in Proportion Layers'!$A$8:$A$321,0))</f>
        <v>304508</v>
      </c>
      <c r="M74" s="120">
        <f t="shared" si="0"/>
        <v>1845285</v>
      </c>
      <c r="N74" s="121"/>
      <c r="O74" s="121">
        <f>ROUND(VLOOKUP(A74,'[2]Contribution Allocation_Report'!$A$9:$D$310,4,FALSE)*'PY_OPEB Amounts'!$O$323,0)</f>
        <v>-301865</v>
      </c>
      <c r="P74" s="121">
        <f>INDEX('[2]Change in Proportion Layers'!$X$8:$X$321,MATCH('PY_OPEB Amounts'!A74,'[2]Change in Proportion Layers'!$A$8:$A$321,0))</f>
        <v>123151</v>
      </c>
      <c r="Q74" s="121">
        <f t="shared" si="2"/>
        <v>-178714</v>
      </c>
    </row>
    <row r="75" spans="1:17" ht="12" customHeight="1">
      <c r="A75" s="166">
        <v>2760</v>
      </c>
      <c r="B75" s="167" t="s">
        <v>65</v>
      </c>
      <c r="C75" s="122">
        <f>ROUND(VLOOKUP(A75,'[2]Contribution Allocation_Report'!$A$9:$D$310,4,FALSE)*'PY_OPEB Amounts'!$C$323,0)</f>
        <v>2665183</v>
      </c>
      <c r="D75" s="122">
        <f>ROUND(VLOOKUP(A75,'[2]Contribution Allocation_Report'!$A$9:$D$310,4,FALSE)*'PY_OPEB Amounts'!$D$323,0)</f>
        <v>38968</v>
      </c>
      <c r="E75" s="122">
        <f>ROUND(VLOOKUP(A75,'[2]Contribution Allocation_Report'!$A$9:$D$310,4,FALSE)*'PY_OPEB Amounts'!$E$323,0)</f>
        <v>533594</v>
      </c>
      <c r="F75" s="122">
        <f>INDEX('[2]Change in Proportion Layers'!$Z$8:$Z$321,MATCH('PY_OPEB Amounts'!A75,'[2]Change in Proportion Layers'!$A$8:$A$321,0))</f>
        <v>280125</v>
      </c>
      <c r="G75" s="122">
        <f t="shared" ref="G75:G138" si="3">SUM(D75:F75)</f>
        <v>852687</v>
      </c>
      <c r="H75" s="122"/>
      <c r="I75" s="122">
        <f>ROUND(VLOOKUP(A75,'[2]Contribution Allocation_Report'!$A$9:$D$310,4,FALSE)*'PY_OPEB Amounts'!$I$323,0)</f>
        <v>425041</v>
      </c>
      <c r="J75" s="122">
        <f>ROUND(VLOOKUP(A75,'[2]Contribution Allocation_Report'!$A$9:$D$310,4,FALSE)*'PY_OPEB Amounts'!$J$323,0)</f>
        <v>76395</v>
      </c>
      <c r="K75" s="122">
        <f>ROUND(VLOOKUP(A75,'[2]Contribution Allocation_Report'!$A$9:$D$310,4,FALSE)*'PY_OPEB Amounts'!$K$323,0)</f>
        <v>963558</v>
      </c>
      <c r="L75" s="122">
        <f>INDEX('[2]Change in Proportion Layers'!$AA$8:$AA$321,MATCH('PY_OPEB Amounts'!A75,'[2]Change in Proportion Layers'!$A$8:$A$321,0))</f>
        <v>132676</v>
      </c>
      <c r="M75" s="122">
        <f t="shared" ref="M75:M138" si="4">SUM(I75:L75)</f>
        <v>1597670</v>
      </c>
      <c r="N75" s="123"/>
      <c r="O75" s="123">
        <f>ROUND(VLOOKUP(A75,'[2]Contribution Allocation_Report'!$A$9:$D$310,4,FALSE)*'PY_OPEB Amounts'!$O$323,0)</f>
        <v>-287018</v>
      </c>
      <c r="P75" s="123">
        <f>INDEX('[2]Change in Proportion Layers'!$X$8:$X$321,MATCH('PY_OPEB Amounts'!A75,'[2]Change in Proportion Layers'!$A$8:$A$321,0))</f>
        <v>15458</v>
      </c>
      <c r="Q75" s="123">
        <f t="shared" ref="Q75:Q138" si="5">+O75+P75</f>
        <v>-271560</v>
      </c>
    </row>
    <row r="76" spans="1:17" ht="12" customHeight="1">
      <c r="A76" s="164">
        <v>2780</v>
      </c>
      <c r="B76" s="168" t="s">
        <v>66</v>
      </c>
      <c r="C76" s="120">
        <f>ROUND(VLOOKUP(A76,'[2]Contribution Allocation_Report'!$A$9:$D$310,4,FALSE)*'PY_OPEB Amounts'!$C$323,0)</f>
        <v>239208</v>
      </c>
      <c r="D76" s="120">
        <f>ROUND(VLOOKUP(A76,'[2]Contribution Allocation_Report'!$A$9:$D$310,4,FALSE)*'PY_OPEB Amounts'!$D$323,0)</f>
        <v>3498</v>
      </c>
      <c r="E76" s="120">
        <f>ROUND(VLOOKUP(A76,'[2]Contribution Allocation_Report'!$A$9:$D$310,4,FALSE)*'PY_OPEB Amounts'!$E$323,0)</f>
        <v>47892</v>
      </c>
      <c r="F76" s="120">
        <f>INDEX('[2]Change in Proportion Layers'!$Z$8:$Z$321,MATCH('PY_OPEB Amounts'!A76,'[2]Change in Proportion Layers'!$A$8:$A$321,0))</f>
        <v>31367</v>
      </c>
      <c r="G76" s="120">
        <f t="shared" si="3"/>
        <v>82757</v>
      </c>
      <c r="H76" s="120"/>
      <c r="I76" s="120">
        <f>ROUND(VLOOKUP(A76,'[2]Contribution Allocation_Report'!$A$9:$D$310,4,FALSE)*'PY_OPEB Amounts'!$I$323,0)</f>
        <v>38149</v>
      </c>
      <c r="J76" s="120">
        <f>ROUND(VLOOKUP(A76,'[2]Contribution Allocation_Report'!$A$9:$D$310,4,FALSE)*'PY_OPEB Amounts'!$J$323,0)</f>
        <v>6857</v>
      </c>
      <c r="K76" s="120">
        <f>ROUND(VLOOKUP(A76,'[2]Contribution Allocation_Report'!$A$9:$D$310,4,FALSE)*'PY_OPEB Amounts'!$K$323,0)</f>
        <v>86482</v>
      </c>
      <c r="L76" s="130">
        <f>INDEX('[2]Change in Proportion Layers'!$AA$8:$AA$321,MATCH('PY_OPEB Amounts'!A76,'[2]Change in Proportion Layers'!$A$8:$A$321,0))</f>
        <v>37593</v>
      </c>
      <c r="M76" s="120">
        <f t="shared" si="4"/>
        <v>169081</v>
      </c>
      <c r="N76" s="121"/>
      <c r="O76" s="121">
        <f>ROUND(VLOOKUP(A76,'[2]Contribution Allocation_Report'!$A$9:$D$310,4,FALSE)*'PY_OPEB Amounts'!$O$323,0)</f>
        <v>-25761</v>
      </c>
      <c r="P76" s="121">
        <f>INDEX('[2]Change in Proportion Layers'!$X$8:$X$321,MATCH('PY_OPEB Amounts'!A76,'[2]Change in Proportion Layers'!$A$8:$A$321,0))</f>
        <v>197</v>
      </c>
      <c r="Q76" s="121">
        <f t="shared" si="5"/>
        <v>-25564</v>
      </c>
    </row>
    <row r="77" spans="1:17" ht="12" customHeight="1">
      <c r="A77" s="166">
        <v>2810</v>
      </c>
      <c r="B77" s="167" t="s">
        <v>67</v>
      </c>
      <c r="C77" s="122">
        <f>ROUND(VLOOKUP(A77,'[2]Contribution Allocation_Report'!$A$9:$D$310,4,FALSE)*'PY_OPEB Amounts'!$C$323,0)</f>
        <v>1874512</v>
      </c>
      <c r="D77" s="122">
        <f>ROUND(VLOOKUP(A77,'[2]Contribution Allocation_Report'!$A$9:$D$310,4,FALSE)*'PY_OPEB Amounts'!$D$323,0)</f>
        <v>27408</v>
      </c>
      <c r="E77" s="122">
        <f>ROUND(VLOOKUP(A77,'[2]Contribution Allocation_Report'!$A$9:$D$310,4,FALSE)*'PY_OPEB Amounts'!$E$323,0)</f>
        <v>375295</v>
      </c>
      <c r="F77" s="131">
        <f>INDEX('[2]Change in Proportion Layers'!$Z$8:$Z$321,MATCH('PY_OPEB Amounts'!A77,'[2]Change in Proportion Layers'!$A$8:$A$321,0))</f>
        <v>242726</v>
      </c>
      <c r="G77" s="122">
        <f t="shared" si="3"/>
        <v>645429</v>
      </c>
      <c r="H77" s="122"/>
      <c r="I77" s="122">
        <f>ROUND(VLOOKUP(A77,'[2]Contribution Allocation_Report'!$A$9:$D$310,4,FALSE)*'PY_OPEB Amounts'!$I$323,0)</f>
        <v>298946</v>
      </c>
      <c r="J77" s="122">
        <f>ROUND(VLOOKUP(A77,'[2]Contribution Allocation_Report'!$A$9:$D$310,4,FALSE)*'PY_OPEB Amounts'!$J$323,0)</f>
        <v>53731</v>
      </c>
      <c r="K77" s="122">
        <f>ROUND(VLOOKUP(A77,'[2]Contribution Allocation_Report'!$A$9:$D$310,4,FALSE)*'PY_OPEB Amounts'!$K$323,0)</f>
        <v>677703</v>
      </c>
      <c r="L77" s="122">
        <f>INDEX('[2]Change in Proportion Layers'!$AA$8:$AA$321,MATCH('PY_OPEB Amounts'!A77,'[2]Change in Proportion Layers'!$A$8:$A$321,0))</f>
        <v>1187785</v>
      </c>
      <c r="M77" s="122">
        <f t="shared" si="4"/>
        <v>2218165</v>
      </c>
      <c r="N77" s="123"/>
      <c r="O77" s="123">
        <f>ROUND(VLOOKUP(A77,'[2]Contribution Allocation_Report'!$A$9:$D$310,4,FALSE)*'PY_OPEB Amounts'!$O$323,0)</f>
        <v>-201869</v>
      </c>
      <c r="P77" s="123">
        <f>INDEX('[2]Change in Proportion Layers'!$X$8:$X$321,MATCH('PY_OPEB Amounts'!A77,'[2]Change in Proportion Layers'!$A$8:$A$321,0))</f>
        <v>-170446</v>
      </c>
      <c r="Q77" s="123">
        <f t="shared" si="5"/>
        <v>-372315</v>
      </c>
    </row>
    <row r="78" spans="1:17" ht="12" customHeight="1">
      <c r="A78" s="164">
        <v>18056</v>
      </c>
      <c r="B78" s="168" t="s">
        <v>68</v>
      </c>
      <c r="C78" s="120">
        <f>ROUND(VLOOKUP(A78,'[2]Contribution Allocation_Report'!$A$9:$D$310,4,FALSE)*'PY_OPEB Amounts'!$C$323,0)</f>
        <v>2224935</v>
      </c>
      <c r="D78" s="120">
        <f>ROUND(VLOOKUP(A78,'[2]Contribution Allocation_Report'!$A$9:$D$310,4,FALSE)*'PY_OPEB Amounts'!$D$323,0)</f>
        <v>32531</v>
      </c>
      <c r="E78" s="120">
        <f>ROUND(VLOOKUP(A78,'[2]Contribution Allocation_Report'!$A$9:$D$310,4,FALSE)*'PY_OPEB Amounts'!$E$323,0)</f>
        <v>445452</v>
      </c>
      <c r="F78" s="120">
        <f>INDEX('[2]Change in Proportion Layers'!$Z$8:$Z$321,MATCH('PY_OPEB Amounts'!A78,'[2]Change in Proportion Layers'!$A$8:$A$321,0))</f>
        <v>516454</v>
      </c>
      <c r="G78" s="120">
        <f t="shared" si="3"/>
        <v>994437</v>
      </c>
      <c r="H78" s="120"/>
      <c r="I78" s="120">
        <f>ROUND(VLOOKUP(A78,'[2]Contribution Allocation_Report'!$A$9:$D$310,4,FALSE)*'PY_OPEB Amounts'!$I$323,0)</f>
        <v>354831</v>
      </c>
      <c r="J78" s="120">
        <f>ROUND(VLOOKUP(A78,'[2]Contribution Allocation_Report'!$A$9:$D$310,4,FALSE)*'PY_OPEB Amounts'!$J$323,0)</f>
        <v>63776</v>
      </c>
      <c r="K78" s="120">
        <f>ROUND(VLOOKUP(A78,'[2]Contribution Allocation_Report'!$A$9:$D$310,4,FALSE)*'PY_OPEB Amounts'!$K$323,0)</f>
        <v>804393</v>
      </c>
      <c r="L78" s="130">
        <f>INDEX('[2]Change in Proportion Layers'!$AA$8:$AA$321,MATCH('PY_OPEB Amounts'!A78,'[2]Change in Proportion Layers'!$A$8:$A$321,0))</f>
        <v>461107</v>
      </c>
      <c r="M78" s="120">
        <f t="shared" si="4"/>
        <v>1684107</v>
      </c>
      <c r="N78" s="121"/>
      <c r="O78" s="121">
        <f>ROUND(VLOOKUP(A78,'[2]Contribution Allocation_Report'!$A$9:$D$310,4,FALSE)*'PY_OPEB Amounts'!$O$323,0)</f>
        <v>-239607</v>
      </c>
      <c r="P78" s="121">
        <f>INDEX('[2]Change in Proportion Layers'!$X$8:$X$321,MATCH('PY_OPEB Amounts'!A78,'[2]Change in Proportion Layers'!$A$8:$A$321,0))</f>
        <v>107745</v>
      </c>
      <c r="Q78" s="121">
        <f t="shared" si="5"/>
        <v>-131862</v>
      </c>
    </row>
    <row r="79" spans="1:17" ht="12" customHeight="1">
      <c r="A79" s="166">
        <v>15047</v>
      </c>
      <c r="B79" s="167" t="s">
        <v>69</v>
      </c>
      <c r="C79" s="122">
        <f>ROUND(VLOOKUP(A79,'[2]Contribution Allocation_Report'!$A$9:$D$310,4,FALSE)*'PY_OPEB Amounts'!$C$323,0)</f>
        <v>2027843</v>
      </c>
      <c r="D79" s="122">
        <f>ROUND(VLOOKUP(A79,'[2]Contribution Allocation_Report'!$A$9:$D$310,4,FALSE)*'PY_OPEB Amounts'!$D$323,0)</f>
        <v>29650</v>
      </c>
      <c r="E79" s="122">
        <f>ROUND(VLOOKUP(A79,'[2]Contribution Allocation_Report'!$A$9:$D$310,4,FALSE)*'PY_OPEB Amounts'!$E$323,0)</f>
        <v>405993</v>
      </c>
      <c r="F79" s="131">
        <f>INDEX('[2]Change in Proportion Layers'!$Z$8:$Z$321,MATCH('PY_OPEB Amounts'!A79,'[2]Change in Proportion Layers'!$A$8:$A$321,0))</f>
        <v>464254</v>
      </c>
      <c r="G79" s="122">
        <f t="shared" si="3"/>
        <v>899897</v>
      </c>
      <c r="H79" s="122"/>
      <c r="I79" s="122">
        <f>ROUND(VLOOKUP(A79,'[2]Contribution Allocation_Report'!$A$9:$D$310,4,FALSE)*'PY_OPEB Amounts'!$I$323,0)</f>
        <v>323399</v>
      </c>
      <c r="J79" s="122">
        <f>ROUND(VLOOKUP(A79,'[2]Contribution Allocation_Report'!$A$9:$D$310,4,FALSE)*'PY_OPEB Amounts'!$J$323,0)</f>
        <v>58126</v>
      </c>
      <c r="K79" s="122">
        <f>ROUND(VLOOKUP(A79,'[2]Contribution Allocation_Report'!$A$9:$D$310,4,FALSE)*'PY_OPEB Amounts'!$K$323,0)</f>
        <v>733137</v>
      </c>
      <c r="L79" s="122">
        <f>INDEX('[2]Change in Proportion Layers'!$AA$8:$AA$321,MATCH('PY_OPEB Amounts'!A79,'[2]Change in Proportion Layers'!$A$8:$A$321,0))</f>
        <v>86061</v>
      </c>
      <c r="M79" s="122">
        <f t="shared" si="4"/>
        <v>1200723</v>
      </c>
      <c r="N79" s="123"/>
      <c r="O79" s="123">
        <f>ROUND(VLOOKUP(A79,'[2]Contribution Allocation_Report'!$A$9:$D$310,4,FALSE)*'PY_OPEB Amounts'!$O$323,0)</f>
        <v>-218382</v>
      </c>
      <c r="P79" s="123">
        <f>INDEX('[2]Change in Proportion Layers'!$X$8:$X$321,MATCH('PY_OPEB Amounts'!A79,'[2]Change in Proportion Layers'!$A$8:$A$321,0))</f>
        <v>79880</v>
      </c>
      <c r="Q79" s="123">
        <f t="shared" si="5"/>
        <v>-138502</v>
      </c>
    </row>
    <row r="80" spans="1:17" ht="12" customHeight="1">
      <c r="A80" s="164">
        <v>5012</v>
      </c>
      <c r="B80" s="168" t="s">
        <v>70</v>
      </c>
      <c r="C80" s="120">
        <f>ROUND(VLOOKUP(A80,'[2]Contribution Allocation_Report'!$A$9:$D$310,4,FALSE)*'PY_OPEB Amounts'!$C$323,0)</f>
        <v>33633627</v>
      </c>
      <c r="D80" s="120">
        <f>ROUND(VLOOKUP(A80,'[2]Contribution Allocation_Report'!$A$9:$D$310,4,FALSE)*'PY_OPEB Amounts'!$D$323,0)</f>
        <v>491768</v>
      </c>
      <c r="E80" s="120">
        <f>ROUND(VLOOKUP(A80,'[2]Contribution Allocation_Report'!$A$9:$D$310,4,FALSE)*'PY_OPEB Amounts'!$E$323,0)</f>
        <v>6733763</v>
      </c>
      <c r="F80" s="120">
        <f>INDEX('[2]Change in Proportion Layers'!$Z$8:$Z$321,MATCH('PY_OPEB Amounts'!A80,'[2]Change in Proportion Layers'!$A$8:$A$321,0))</f>
        <v>2839344</v>
      </c>
      <c r="G80" s="120">
        <f t="shared" si="3"/>
        <v>10064875</v>
      </c>
      <c r="H80" s="120"/>
      <c r="I80" s="120">
        <f>ROUND(VLOOKUP(A80,'[2]Contribution Allocation_Report'!$A$9:$D$310,4,FALSE)*'PY_OPEB Amounts'!$I$323,0)</f>
        <v>5363864</v>
      </c>
      <c r="J80" s="120">
        <f>ROUND(VLOOKUP(A80,'[2]Contribution Allocation_Report'!$A$9:$D$310,4,FALSE)*'PY_OPEB Amounts'!$J$323,0)</f>
        <v>964079</v>
      </c>
      <c r="K80" s="120">
        <f>ROUND(VLOOKUP(A80,'[2]Contribution Allocation_Report'!$A$9:$D$310,4,FALSE)*'PY_OPEB Amounts'!$K$323,0)</f>
        <v>12159748</v>
      </c>
      <c r="L80" s="120">
        <f>INDEX('[2]Change in Proportion Layers'!$AA$8:$AA$321,MATCH('PY_OPEB Amounts'!A80,'[2]Change in Proportion Layers'!$A$8:$A$321,0))</f>
        <v>469745</v>
      </c>
      <c r="M80" s="120">
        <f t="shared" si="4"/>
        <v>18957436</v>
      </c>
      <c r="N80" s="121"/>
      <c r="O80" s="121">
        <f>ROUND(VLOOKUP(A80,'[2]Contribution Allocation_Report'!$A$9:$D$310,4,FALSE)*'PY_OPEB Amounts'!$O$323,0)</f>
        <v>-3622060</v>
      </c>
      <c r="P80" s="121">
        <f>INDEX('[2]Change in Proportion Layers'!$X$8:$X$321,MATCH('PY_OPEB Amounts'!A80,'[2]Change in Proportion Layers'!$A$8:$A$321,0))</f>
        <v>620945</v>
      </c>
      <c r="Q80" s="121">
        <f t="shared" si="5"/>
        <v>-3001115</v>
      </c>
    </row>
    <row r="81" spans="1:17" ht="12" customHeight="1">
      <c r="A81" s="166">
        <v>8024</v>
      </c>
      <c r="B81" s="167" t="s">
        <v>71</v>
      </c>
      <c r="C81" s="122">
        <f>ROUND(VLOOKUP(A81,'[2]Contribution Allocation_Report'!$A$9:$D$310,4,FALSE)*'PY_OPEB Amounts'!$C$323,0)</f>
        <v>7116698</v>
      </c>
      <c r="D81" s="122">
        <f>ROUND(VLOOKUP(A81,'[2]Contribution Allocation_Report'!$A$9:$D$310,4,FALSE)*'PY_OPEB Amounts'!$D$323,0)</f>
        <v>104055</v>
      </c>
      <c r="E81" s="122">
        <f>ROUND(VLOOKUP(A81,'[2]Contribution Allocation_Report'!$A$9:$D$310,4,FALSE)*'PY_OPEB Amounts'!$E$323,0)</f>
        <v>1424829</v>
      </c>
      <c r="F81" s="122">
        <f>INDEX('[2]Change in Proportion Layers'!$Z$8:$Z$321,MATCH('PY_OPEB Amounts'!A81,'[2]Change in Proportion Layers'!$A$8:$A$321,0))</f>
        <v>1170841</v>
      </c>
      <c r="G81" s="122">
        <f t="shared" si="3"/>
        <v>2699725</v>
      </c>
      <c r="H81" s="122"/>
      <c r="I81" s="122">
        <f>ROUND(VLOOKUP(A81,'[2]Contribution Allocation_Report'!$A$9:$D$310,4,FALSE)*'PY_OPEB Amounts'!$I$323,0)</f>
        <v>1134965</v>
      </c>
      <c r="J81" s="122">
        <f>ROUND(VLOOKUP(A81,'[2]Contribution Allocation_Report'!$A$9:$D$310,4,FALSE)*'PY_OPEB Amounts'!$J$323,0)</f>
        <v>203994</v>
      </c>
      <c r="K81" s="122">
        <f>ROUND(VLOOKUP(A81,'[2]Contribution Allocation_Report'!$A$9:$D$310,4,FALSE)*'PY_OPEB Amounts'!$K$323,0)</f>
        <v>2572938</v>
      </c>
      <c r="L81" s="122">
        <f>INDEX('[2]Change in Proportion Layers'!$AA$8:$AA$321,MATCH('PY_OPEB Amounts'!A81,'[2]Change in Proportion Layers'!$A$8:$A$321,0))</f>
        <v>782701</v>
      </c>
      <c r="M81" s="122">
        <f t="shared" si="4"/>
        <v>4694598</v>
      </c>
      <c r="N81" s="123"/>
      <c r="O81" s="123">
        <f>ROUND(VLOOKUP(A81,'[2]Contribution Allocation_Report'!$A$9:$D$310,4,FALSE)*'PY_OPEB Amounts'!$O$323,0)</f>
        <v>-766409</v>
      </c>
      <c r="P81" s="123">
        <f>INDEX('[2]Change in Proportion Layers'!$X$8:$X$321,MATCH('PY_OPEB Amounts'!A81,'[2]Change in Proportion Layers'!$A$8:$A$321,0))</f>
        <v>292494</v>
      </c>
      <c r="Q81" s="123">
        <f t="shared" si="5"/>
        <v>-473915</v>
      </c>
    </row>
    <row r="82" spans="1:17" ht="12" customHeight="1">
      <c r="A82" s="164">
        <v>3050</v>
      </c>
      <c r="B82" s="168" t="s">
        <v>72</v>
      </c>
      <c r="C82" s="120">
        <f>ROUND(VLOOKUP(A82,'[2]Contribution Allocation_Report'!$A$9:$D$310,4,FALSE)*'PY_OPEB Amounts'!$C$323,0)</f>
        <v>2335490</v>
      </c>
      <c r="D82" s="120">
        <f>ROUND(VLOOKUP(A82,'[2]Contribution Allocation_Report'!$A$9:$D$310,4,FALSE)*'PY_OPEB Amounts'!$D$323,0)</f>
        <v>34148</v>
      </c>
      <c r="E82" s="120">
        <f>ROUND(VLOOKUP(A82,'[2]Contribution Allocation_Report'!$A$9:$D$310,4,FALSE)*'PY_OPEB Amounts'!$E$323,0)</f>
        <v>467587</v>
      </c>
      <c r="F82" s="120">
        <f>INDEX('[2]Change in Proportion Layers'!$Z$8:$Z$321,MATCH('PY_OPEB Amounts'!A82,'[2]Change in Proportion Layers'!$A$8:$A$321,0))</f>
        <v>241240</v>
      </c>
      <c r="G82" s="120">
        <f t="shared" si="3"/>
        <v>742975</v>
      </c>
      <c r="H82" s="120"/>
      <c r="I82" s="120">
        <f>ROUND(VLOOKUP(A82,'[2]Contribution Allocation_Report'!$A$9:$D$310,4,FALSE)*'PY_OPEB Amounts'!$I$323,0)</f>
        <v>372462</v>
      </c>
      <c r="J82" s="120">
        <f>ROUND(VLOOKUP(A82,'[2]Contribution Allocation_Report'!$A$9:$D$310,4,FALSE)*'PY_OPEB Amounts'!$J$323,0)</f>
        <v>66945</v>
      </c>
      <c r="K82" s="120">
        <f>ROUND(VLOOKUP(A82,'[2]Contribution Allocation_Report'!$A$9:$D$310,4,FALSE)*'PY_OPEB Amounts'!$K$323,0)</f>
        <v>844363</v>
      </c>
      <c r="L82" s="120">
        <f>INDEX('[2]Change in Proportion Layers'!$AA$8:$AA$321,MATCH('PY_OPEB Amounts'!A82,'[2]Change in Proportion Layers'!$A$8:$A$321,0))</f>
        <v>144963</v>
      </c>
      <c r="M82" s="120">
        <f t="shared" si="4"/>
        <v>1428733</v>
      </c>
      <c r="N82" s="121"/>
      <c r="O82" s="121">
        <f>ROUND(VLOOKUP(A82,'[2]Contribution Allocation_Report'!$A$9:$D$310,4,FALSE)*'PY_OPEB Amounts'!$O$323,0)</f>
        <v>-251513</v>
      </c>
      <c r="P82" s="121">
        <f>INDEX('[2]Change in Proportion Layers'!$X$8:$X$321,MATCH('PY_OPEB Amounts'!A82,'[2]Change in Proportion Layers'!$A$8:$A$321,0))</f>
        <v>33274</v>
      </c>
      <c r="Q82" s="121">
        <f t="shared" si="5"/>
        <v>-218239</v>
      </c>
    </row>
    <row r="83" spans="1:17" ht="12" customHeight="1">
      <c r="A83" s="166">
        <v>2421</v>
      </c>
      <c r="B83" s="167" t="s">
        <v>73</v>
      </c>
      <c r="C83" s="122">
        <f>ROUND(VLOOKUP(A83,'[2]Contribution Allocation_Report'!$A$9:$D$310,4,FALSE)*'PY_OPEB Amounts'!$C$323,0)</f>
        <v>841671</v>
      </c>
      <c r="D83" s="122">
        <f>ROUND(VLOOKUP(A83,'[2]Contribution Allocation_Report'!$A$9:$D$310,4,FALSE)*'PY_OPEB Amounts'!$D$323,0)</f>
        <v>12306</v>
      </c>
      <c r="E83" s="122">
        <f>ROUND(VLOOKUP(A83,'[2]Contribution Allocation_Report'!$A$9:$D$310,4,FALSE)*'PY_OPEB Amounts'!$E$323,0)</f>
        <v>168510</v>
      </c>
      <c r="F83" s="122">
        <f>INDEX('[2]Change in Proportion Layers'!$Z$8:$Z$321,MATCH('PY_OPEB Amounts'!A83,'[2]Change in Proportion Layers'!$A$8:$A$321,0))</f>
        <v>29443</v>
      </c>
      <c r="G83" s="122">
        <f t="shared" si="3"/>
        <v>210259</v>
      </c>
      <c r="H83" s="122"/>
      <c r="I83" s="122">
        <f>ROUND(VLOOKUP(A83,'[2]Contribution Allocation_Report'!$A$9:$D$310,4,FALSE)*'PY_OPEB Amounts'!$I$323,0)</f>
        <v>134229</v>
      </c>
      <c r="J83" s="122">
        <f>ROUND(VLOOKUP(A83,'[2]Contribution Allocation_Report'!$A$9:$D$310,4,FALSE)*'PY_OPEB Amounts'!$J$323,0)</f>
        <v>24126</v>
      </c>
      <c r="K83" s="122">
        <f>ROUND(VLOOKUP(A83,'[2]Contribution Allocation_Report'!$A$9:$D$310,4,FALSE)*'PY_OPEB Amounts'!$K$323,0)</f>
        <v>304294</v>
      </c>
      <c r="L83" s="122">
        <f>INDEX('[2]Change in Proportion Layers'!$AA$8:$AA$321,MATCH('PY_OPEB Amounts'!A83,'[2]Change in Proportion Layers'!$A$8:$A$321,0))</f>
        <v>80700</v>
      </c>
      <c r="M83" s="122">
        <f t="shared" si="4"/>
        <v>543349</v>
      </c>
      <c r="N83" s="123"/>
      <c r="O83" s="123">
        <f>ROUND(VLOOKUP(A83,'[2]Contribution Allocation_Report'!$A$9:$D$310,4,FALSE)*'PY_OPEB Amounts'!$O$323,0)</f>
        <v>-90641</v>
      </c>
      <c r="P83" s="123">
        <f>INDEX('[2]Change in Proportion Layers'!$X$8:$X$321,MATCH('PY_OPEB Amounts'!A83,'[2]Change in Proportion Layers'!$A$8:$A$321,0))</f>
        <v>-27856</v>
      </c>
      <c r="Q83" s="123">
        <f t="shared" si="5"/>
        <v>-118497</v>
      </c>
    </row>
    <row r="84" spans="1:17" ht="12" customHeight="1">
      <c r="A84" s="164">
        <v>26079</v>
      </c>
      <c r="B84" s="168" t="s">
        <v>74</v>
      </c>
      <c r="C84" s="120">
        <f>ROUND(VLOOKUP(A84,'[2]Contribution Allocation_Report'!$A$9:$D$310,4,FALSE)*'PY_OPEB Amounts'!$C$323,0)</f>
        <v>750858</v>
      </c>
      <c r="D84" s="120">
        <f>ROUND(VLOOKUP(A84,'[2]Contribution Allocation_Report'!$A$9:$D$310,4,FALSE)*'PY_OPEB Amounts'!$D$323,0)</f>
        <v>10979</v>
      </c>
      <c r="E84" s="120">
        <f>ROUND(VLOOKUP(A84,'[2]Contribution Allocation_Report'!$A$9:$D$310,4,FALSE)*'PY_OPEB Amounts'!$E$323,0)</f>
        <v>150329</v>
      </c>
      <c r="F84" s="120">
        <f>INDEX('[2]Change in Proportion Layers'!$Z$8:$Z$321,MATCH('PY_OPEB Amounts'!A84,'[2]Change in Proportion Layers'!$A$8:$A$321,0))</f>
        <v>23699</v>
      </c>
      <c r="G84" s="120">
        <f t="shared" si="3"/>
        <v>185007</v>
      </c>
      <c r="H84" s="120"/>
      <c r="I84" s="120">
        <f>ROUND(VLOOKUP(A84,'[2]Contribution Allocation_Report'!$A$9:$D$310,4,FALSE)*'PY_OPEB Amounts'!$I$323,0)</f>
        <v>119746</v>
      </c>
      <c r="J84" s="120">
        <f>ROUND(VLOOKUP(A84,'[2]Contribution Allocation_Report'!$A$9:$D$310,4,FALSE)*'PY_OPEB Amounts'!$J$323,0)</f>
        <v>21523</v>
      </c>
      <c r="K84" s="120">
        <f>ROUND(VLOOKUP(A84,'[2]Contribution Allocation_Report'!$A$9:$D$310,4,FALSE)*'PY_OPEB Amounts'!$K$323,0)</f>
        <v>271462</v>
      </c>
      <c r="L84" s="120">
        <f>INDEX('[2]Change in Proportion Layers'!$AA$8:$AA$321,MATCH('PY_OPEB Amounts'!A84,'[2]Change in Proportion Layers'!$A$8:$A$321,0))</f>
        <v>72577</v>
      </c>
      <c r="M84" s="120">
        <f t="shared" si="4"/>
        <v>485308</v>
      </c>
      <c r="N84" s="121"/>
      <c r="O84" s="121">
        <f>ROUND(VLOOKUP(A84,'[2]Contribution Allocation_Report'!$A$9:$D$310,4,FALSE)*'PY_OPEB Amounts'!$O$323,0)</f>
        <v>-80861</v>
      </c>
      <c r="P84" s="121">
        <f>INDEX('[2]Change in Proportion Layers'!$X$8:$X$321,MATCH('PY_OPEB Amounts'!A84,'[2]Change in Proportion Layers'!$A$8:$A$321,0))</f>
        <v>-18962</v>
      </c>
      <c r="Q84" s="121">
        <f t="shared" si="5"/>
        <v>-99823</v>
      </c>
    </row>
    <row r="85" spans="1:17" ht="12" customHeight="1">
      <c r="A85" s="166">
        <v>2363</v>
      </c>
      <c r="B85" s="167" t="s">
        <v>75</v>
      </c>
      <c r="C85" s="122">
        <f>ROUND(VLOOKUP(A85,'[2]Contribution Allocation_Report'!$A$9:$D$310,4,FALSE)*'PY_OPEB Amounts'!$C$323,0)</f>
        <v>978221</v>
      </c>
      <c r="D85" s="122">
        <f>ROUND(VLOOKUP(A85,'[2]Contribution Allocation_Report'!$A$9:$D$310,4,FALSE)*'PY_OPEB Amounts'!$D$323,0)</f>
        <v>14303</v>
      </c>
      <c r="E85" s="122">
        <f>ROUND(VLOOKUP(A85,'[2]Contribution Allocation_Report'!$A$9:$D$310,4,FALSE)*'PY_OPEB Amounts'!$E$323,0)</f>
        <v>195849</v>
      </c>
      <c r="F85" s="122">
        <f>INDEX('[2]Change in Proportion Layers'!$Z$8:$Z$321,MATCH('PY_OPEB Amounts'!A85,'[2]Change in Proportion Layers'!$A$8:$A$321,0))</f>
        <v>42851</v>
      </c>
      <c r="G85" s="122">
        <f t="shared" si="3"/>
        <v>253003</v>
      </c>
      <c r="H85" s="122"/>
      <c r="I85" s="122">
        <f>ROUND(VLOOKUP(A85,'[2]Contribution Allocation_Report'!$A$9:$D$310,4,FALSE)*'PY_OPEB Amounts'!$I$323,0)</f>
        <v>156006</v>
      </c>
      <c r="J85" s="122">
        <f>ROUND(VLOOKUP(A85,'[2]Contribution Allocation_Report'!$A$9:$D$310,4,FALSE)*'PY_OPEB Amounts'!$J$323,0)</f>
        <v>28040</v>
      </c>
      <c r="K85" s="122">
        <f>ROUND(VLOOKUP(A85,'[2]Contribution Allocation_Report'!$A$9:$D$310,4,FALSE)*'PY_OPEB Amounts'!$K$323,0)</f>
        <v>353662</v>
      </c>
      <c r="L85" s="131">
        <f>INDEX('[2]Change in Proportion Layers'!$AA$8:$AA$321,MATCH('PY_OPEB Amounts'!A85,'[2]Change in Proportion Layers'!$A$8:$A$321,0))</f>
        <v>13533</v>
      </c>
      <c r="M85" s="122">
        <f t="shared" si="4"/>
        <v>551241</v>
      </c>
      <c r="N85" s="123"/>
      <c r="O85" s="123">
        <f>ROUND(VLOOKUP(A85,'[2]Contribution Allocation_Report'!$A$9:$D$310,4,FALSE)*'PY_OPEB Amounts'!$O$323,0)</f>
        <v>-105346</v>
      </c>
      <c r="P85" s="123">
        <f>INDEX('[2]Change in Proportion Layers'!$X$8:$X$321,MATCH('PY_OPEB Amounts'!A85,'[2]Change in Proportion Layers'!$A$8:$A$321,0))</f>
        <v>4199</v>
      </c>
      <c r="Q85" s="123">
        <f t="shared" si="5"/>
        <v>-101147</v>
      </c>
    </row>
    <row r="86" spans="1:17" ht="12" customHeight="1">
      <c r="A86" s="164">
        <v>2364</v>
      </c>
      <c r="B86" s="168" t="s">
        <v>76</v>
      </c>
      <c r="C86" s="120">
        <f>ROUND(VLOOKUP(A86,'[2]Contribution Allocation_Report'!$A$9:$D$310,4,FALSE)*'PY_OPEB Amounts'!$C$323,0)</f>
        <v>2532253</v>
      </c>
      <c r="D86" s="120">
        <f>ROUND(VLOOKUP(A86,'[2]Contribution Allocation_Report'!$A$9:$D$310,4,FALSE)*'PY_OPEB Amounts'!$D$323,0)</f>
        <v>37025</v>
      </c>
      <c r="E86" s="120">
        <f>ROUND(VLOOKUP(A86,'[2]Contribution Allocation_Report'!$A$9:$D$310,4,FALSE)*'PY_OPEB Amounts'!$E$323,0)</f>
        <v>506981</v>
      </c>
      <c r="F86" s="120">
        <f>INDEX('[2]Change in Proportion Layers'!$Z$8:$Z$321,MATCH('PY_OPEB Amounts'!A86,'[2]Change in Proportion Layers'!$A$8:$A$321,0))</f>
        <v>371813</v>
      </c>
      <c r="G86" s="120">
        <f t="shared" si="3"/>
        <v>915819</v>
      </c>
      <c r="H86" s="120"/>
      <c r="I86" s="120">
        <f>ROUND(VLOOKUP(A86,'[2]Contribution Allocation_Report'!$A$9:$D$310,4,FALSE)*'PY_OPEB Amounts'!$I$323,0)</f>
        <v>403842</v>
      </c>
      <c r="J86" s="120">
        <f>ROUND(VLOOKUP(A86,'[2]Contribution Allocation_Report'!$A$9:$D$310,4,FALSE)*'PY_OPEB Amounts'!$J$323,0)</f>
        <v>72585</v>
      </c>
      <c r="K86" s="120">
        <f>ROUND(VLOOKUP(A86,'[2]Contribution Allocation_Report'!$A$9:$D$310,4,FALSE)*'PY_OPEB Amounts'!$K$323,0)</f>
        <v>915499</v>
      </c>
      <c r="L86" s="130">
        <f>INDEX('[2]Change in Proportion Layers'!$AA$8:$AA$321,MATCH('PY_OPEB Amounts'!A86,'[2]Change in Proportion Layers'!$A$8:$A$321,0))</f>
        <v>71035</v>
      </c>
      <c r="M86" s="120">
        <f t="shared" si="4"/>
        <v>1462961</v>
      </c>
      <c r="N86" s="121"/>
      <c r="O86" s="121">
        <f>ROUND(VLOOKUP(A86,'[2]Contribution Allocation_Report'!$A$9:$D$310,4,FALSE)*'PY_OPEB Amounts'!$O$323,0)</f>
        <v>-272702</v>
      </c>
      <c r="P86" s="121">
        <f>INDEX('[2]Change in Proportion Layers'!$X$8:$X$321,MATCH('PY_OPEB Amounts'!A86,'[2]Change in Proportion Layers'!$A$8:$A$321,0))</f>
        <v>44426</v>
      </c>
      <c r="Q86" s="121">
        <f t="shared" si="5"/>
        <v>-228276</v>
      </c>
    </row>
    <row r="87" spans="1:17" ht="12" customHeight="1">
      <c r="A87" s="166">
        <v>25319</v>
      </c>
      <c r="B87" s="167" t="s">
        <v>77</v>
      </c>
      <c r="C87" s="122">
        <f>ROUND(VLOOKUP(A87,'[2]Contribution Allocation_Report'!$A$9:$D$310,4,FALSE)*'PY_OPEB Amounts'!$C$323,0)</f>
        <v>769284</v>
      </c>
      <c r="D87" s="122">
        <f>ROUND(VLOOKUP(A87,'[2]Contribution Allocation_Report'!$A$9:$D$310,4,FALSE)*'PY_OPEB Amounts'!$D$323,0)</f>
        <v>11248</v>
      </c>
      <c r="E87" s="122">
        <f>ROUND(VLOOKUP(A87,'[2]Contribution Allocation_Report'!$A$9:$D$310,4,FALSE)*'PY_OPEB Amounts'!$E$323,0)</f>
        <v>154018</v>
      </c>
      <c r="F87" s="122">
        <f>INDEX('[2]Change in Proportion Layers'!$Z$8:$Z$321,MATCH('PY_OPEB Amounts'!A87,'[2]Change in Proportion Layers'!$A$8:$A$321,0))</f>
        <v>129093</v>
      </c>
      <c r="G87" s="122">
        <f t="shared" si="3"/>
        <v>294359</v>
      </c>
      <c r="H87" s="122"/>
      <c r="I87" s="122">
        <f>ROUND(VLOOKUP(A87,'[2]Contribution Allocation_Report'!$A$9:$D$310,4,FALSE)*'PY_OPEB Amounts'!$I$323,0)</f>
        <v>122685</v>
      </c>
      <c r="J87" s="122">
        <f>ROUND(VLOOKUP(A87,'[2]Contribution Allocation_Report'!$A$9:$D$310,4,FALSE)*'PY_OPEB Amounts'!$J$323,0)</f>
        <v>22051</v>
      </c>
      <c r="K87" s="122">
        <f>ROUND(VLOOKUP(A87,'[2]Contribution Allocation_Report'!$A$9:$D$310,4,FALSE)*'PY_OPEB Amounts'!$K$323,0)</f>
        <v>278123</v>
      </c>
      <c r="L87" s="122">
        <f>INDEX('[2]Change in Proportion Layers'!$AA$8:$AA$321,MATCH('PY_OPEB Amounts'!A87,'[2]Change in Proportion Layers'!$A$8:$A$321,0))</f>
        <v>0</v>
      </c>
      <c r="M87" s="122">
        <f t="shared" si="4"/>
        <v>422859</v>
      </c>
      <c r="N87" s="123"/>
      <c r="O87" s="123">
        <f>ROUND(VLOOKUP(A87,'[2]Contribution Allocation_Report'!$A$9:$D$310,4,FALSE)*'PY_OPEB Amounts'!$O$323,0)</f>
        <v>-82845</v>
      </c>
      <c r="P87" s="123">
        <f>INDEX('[2]Change in Proportion Layers'!$X$8:$X$321,MATCH('PY_OPEB Amounts'!A87,'[2]Change in Proportion Layers'!$A$8:$A$321,0))</f>
        <v>32280</v>
      </c>
      <c r="Q87" s="123">
        <f t="shared" si="5"/>
        <v>-50565</v>
      </c>
    </row>
    <row r="88" spans="1:17" ht="12" customHeight="1">
      <c r="A88" s="164">
        <v>29087</v>
      </c>
      <c r="B88" s="168" t="s">
        <v>78</v>
      </c>
      <c r="C88" s="120">
        <f>ROUND(VLOOKUP(A88,'[2]Contribution Allocation_Report'!$A$9:$D$310,4,FALSE)*'PY_OPEB Amounts'!$C$323,0)</f>
        <v>4456779</v>
      </c>
      <c r="D88" s="120">
        <f>ROUND(VLOOKUP(A88,'[2]Contribution Allocation_Report'!$A$9:$D$310,4,FALSE)*'PY_OPEB Amounts'!$D$323,0)</f>
        <v>65164</v>
      </c>
      <c r="E88" s="120">
        <f>ROUND(VLOOKUP(A88,'[2]Contribution Allocation_Report'!$A$9:$D$310,4,FALSE)*'PY_OPEB Amounts'!$E$323,0)</f>
        <v>892288</v>
      </c>
      <c r="F88" s="120">
        <f>INDEX('[2]Change in Proportion Layers'!$Z$8:$Z$321,MATCH('PY_OPEB Amounts'!A88,'[2]Change in Proportion Layers'!$A$8:$A$321,0))</f>
        <v>980177</v>
      </c>
      <c r="G88" s="120">
        <f t="shared" si="3"/>
        <v>1937629</v>
      </c>
      <c r="H88" s="120"/>
      <c r="I88" s="120">
        <f>ROUND(VLOOKUP(A88,'[2]Contribution Allocation_Report'!$A$9:$D$310,4,FALSE)*'PY_OPEB Amounts'!$I$323,0)</f>
        <v>710764</v>
      </c>
      <c r="J88" s="120">
        <f>ROUND(VLOOKUP(A88,'[2]Contribution Allocation_Report'!$A$9:$D$310,4,FALSE)*'PY_OPEB Amounts'!$J$323,0)</f>
        <v>127750</v>
      </c>
      <c r="K88" s="120">
        <f>ROUND(VLOOKUP(A88,'[2]Contribution Allocation_Report'!$A$9:$D$310,4,FALSE)*'PY_OPEB Amounts'!$K$323,0)</f>
        <v>1611284</v>
      </c>
      <c r="L88" s="120">
        <f>INDEX('[2]Change in Proportion Layers'!$AA$8:$AA$321,MATCH('PY_OPEB Amounts'!A88,'[2]Change in Proportion Layers'!$A$8:$A$321,0))</f>
        <v>203857</v>
      </c>
      <c r="M88" s="120">
        <f t="shared" si="4"/>
        <v>2653655</v>
      </c>
      <c r="N88" s="121"/>
      <c r="O88" s="121">
        <f>ROUND(VLOOKUP(A88,'[2]Contribution Allocation_Report'!$A$9:$D$310,4,FALSE)*'PY_OPEB Amounts'!$O$323,0)</f>
        <v>-479958</v>
      </c>
      <c r="P88" s="121">
        <f>INDEX('[2]Change in Proportion Layers'!$X$8:$X$321,MATCH('PY_OPEB Amounts'!A88,'[2]Change in Proportion Layers'!$A$8:$A$321,0))</f>
        <v>231064</v>
      </c>
      <c r="Q88" s="121">
        <f t="shared" si="5"/>
        <v>-248894</v>
      </c>
    </row>
    <row r="89" spans="1:17" ht="12" customHeight="1">
      <c r="A89" s="166">
        <v>3060</v>
      </c>
      <c r="B89" s="167" t="s">
        <v>79</v>
      </c>
      <c r="C89" s="122">
        <f>ROUND(VLOOKUP(A89,'[2]Contribution Allocation_Report'!$A$9:$D$310,4,FALSE)*'PY_OPEB Amounts'!$C$323,0)</f>
        <v>3932955</v>
      </c>
      <c r="D89" s="122">
        <f>ROUND(VLOOKUP(A89,'[2]Contribution Allocation_Report'!$A$9:$D$310,4,FALSE)*'PY_OPEB Amounts'!$D$323,0)</f>
        <v>57505</v>
      </c>
      <c r="E89" s="122">
        <f>ROUND(VLOOKUP(A89,'[2]Contribution Allocation_Report'!$A$9:$D$310,4,FALSE)*'PY_OPEB Amounts'!$E$323,0)</f>
        <v>787414</v>
      </c>
      <c r="F89" s="122">
        <f>INDEX('[2]Change in Proportion Layers'!$Z$8:$Z$321,MATCH('PY_OPEB Amounts'!A89,'[2]Change in Proportion Layers'!$A$8:$A$321,0))</f>
        <v>92296</v>
      </c>
      <c r="G89" s="122">
        <f t="shared" si="3"/>
        <v>937215</v>
      </c>
      <c r="H89" s="122"/>
      <c r="I89" s="122">
        <f>ROUND(VLOOKUP(A89,'[2]Contribution Allocation_Report'!$A$9:$D$310,4,FALSE)*'PY_OPEB Amounts'!$I$323,0)</f>
        <v>627225</v>
      </c>
      <c r="J89" s="122">
        <f>ROUND(VLOOKUP(A89,'[2]Contribution Allocation_Report'!$A$9:$D$310,4,FALSE)*'PY_OPEB Amounts'!$J$323,0)</f>
        <v>112735</v>
      </c>
      <c r="K89" s="122">
        <f>ROUND(VLOOKUP(A89,'[2]Contribution Allocation_Report'!$A$9:$D$310,4,FALSE)*'PY_OPEB Amounts'!$K$323,0)</f>
        <v>1421903</v>
      </c>
      <c r="L89" s="122">
        <f>INDEX('[2]Change in Proportion Layers'!$AA$8:$AA$321,MATCH('PY_OPEB Amounts'!A89,'[2]Change in Proportion Layers'!$A$8:$A$321,0))</f>
        <v>719209</v>
      </c>
      <c r="M89" s="122">
        <f t="shared" si="4"/>
        <v>2881072</v>
      </c>
      <c r="N89" s="123"/>
      <c r="O89" s="123">
        <f>ROUND(VLOOKUP(A89,'[2]Contribution Allocation_Report'!$A$9:$D$310,4,FALSE)*'PY_OPEB Amounts'!$O$323,0)</f>
        <v>-423546</v>
      </c>
      <c r="P89" s="123">
        <f>INDEX('[2]Change in Proportion Layers'!$X$8:$X$321,MATCH('PY_OPEB Amounts'!A89,'[2]Change in Proportion Layers'!$A$8:$A$321,0))</f>
        <v>-147394</v>
      </c>
      <c r="Q89" s="123">
        <f t="shared" si="5"/>
        <v>-570940</v>
      </c>
    </row>
    <row r="90" spans="1:17" ht="12" customHeight="1">
      <c r="A90" s="164">
        <v>19301</v>
      </c>
      <c r="B90" s="168" t="s">
        <v>80</v>
      </c>
      <c r="C90" s="120">
        <f>ROUND(VLOOKUP(A90,'[2]Contribution Allocation_Report'!$A$9:$D$310,4,FALSE)*'PY_OPEB Amounts'!$C$323,0)</f>
        <v>587986</v>
      </c>
      <c r="D90" s="120">
        <f>ROUND(VLOOKUP(A90,'[2]Contribution Allocation_Report'!$A$9:$D$310,4,FALSE)*'PY_OPEB Amounts'!$D$323,0)</f>
        <v>8597</v>
      </c>
      <c r="E90" s="120">
        <f>ROUND(VLOOKUP(A90,'[2]Contribution Allocation_Report'!$A$9:$D$310,4,FALSE)*'PY_OPEB Amounts'!$E$323,0)</f>
        <v>117720</v>
      </c>
      <c r="F90" s="120">
        <f>INDEX('[2]Change in Proportion Layers'!$Z$8:$Z$321,MATCH('PY_OPEB Amounts'!A90,'[2]Change in Proportion Layers'!$A$8:$A$321,0))</f>
        <v>1210</v>
      </c>
      <c r="G90" s="120">
        <f t="shared" si="3"/>
        <v>127527</v>
      </c>
      <c r="H90" s="120"/>
      <c r="I90" s="120">
        <f>ROUND(VLOOKUP(A90,'[2]Contribution Allocation_Report'!$A$9:$D$310,4,FALSE)*'PY_OPEB Amounts'!$I$323,0)</f>
        <v>93771</v>
      </c>
      <c r="J90" s="120">
        <f>ROUND(VLOOKUP(A90,'[2]Contribution Allocation_Report'!$A$9:$D$310,4,FALSE)*'PY_OPEB Amounts'!$J$323,0)</f>
        <v>16854</v>
      </c>
      <c r="K90" s="120">
        <f>ROUND(VLOOKUP(A90,'[2]Contribution Allocation_Report'!$A$9:$D$310,4,FALSE)*'PY_OPEB Amounts'!$K$323,0)</f>
        <v>212578</v>
      </c>
      <c r="L90" s="120">
        <f>INDEX('[2]Change in Proportion Layers'!$AA$8:$AA$321,MATCH('PY_OPEB Amounts'!A90,'[2]Change in Proportion Layers'!$A$8:$A$321,0))</f>
        <v>149928</v>
      </c>
      <c r="M90" s="120">
        <f t="shared" si="4"/>
        <v>473131</v>
      </c>
      <c r="N90" s="121"/>
      <c r="O90" s="121">
        <f>ROUND(VLOOKUP(A90,'[2]Contribution Allocation_Report'!$A$9:$D$310,4,FALSE)*'PY_OPEB Amounts'!$O$323,0)</f>
        <v>-63321</v>
      </c>
      <c r="P90" s="121">
        <f>INDEX('[2]Change in Proportion Layers'!$X$8:$X$321,MATCH('PY_OPEB Amounts'!A90,'[2]Change in Proportion Layers'!$A$8:$A$321,0))</f>
        <v>-45471</v>
      </c>
      <c r="Q90" s="121">
        <f t="shared" si="5"/>
        <v>-108792</v>
      </c>
    </row>
    <row r="91" spans="1:17" ht="12" customHeight="1">
      <c r="A91" s="166">
        <v>19059</v>
      </c>
      <c r="B91" s="167" t="s">
        <v>81</v>
      </c>
      <c r="C91" s="122">
        <f>ROUND(VLOOKUP(A91,'[2]Contribution Allocation_Report'!$A$9:$D$310,4,FALSE)*'PY_OPEB Amounts'!$C$323,0)</f>
        <v>23046597</v>
      </c>
      <c r="D91" s="122">
        <f>ROUND(VLOOKUP(A91,'[2]Contribution Allocation_Report'!$A$9:$D$310,4,FALSE)*'PY_OPEB Amounts'!$D$323,0)</f>
        <v>336972</v>
      </c>
      <c r="E91" s="122">
        <f>ROUND(VLOOKUP(A91,'[2]Contribution Allocation_Report'!$A$9:$D$310,4,FALSE)*'PY_OPEB Amounts'!$E$323,0)</f>
        <v>4614142</v>
      </c>
      <c r="F91" s="122">
        <f>INDEX('[2]Change in Proportion Layers'!$Z$8:$Z$321,MATCH('PY_OPEB Amounts'!A91,'[2]Change in Proportion Layers'!$A$8:$A$321,0))</f>
        <v>2080180</v>
      </c>
      <c r="G91" s="122">
        <f t="shared" si="3"/>
        <v>7031294</v>
      </c>
      <c r="H91" s="122"/>
      <c r="I91" s="122">
        <f>ROUND(VLOOKUP(A91,'[2]Contribution Allocation_Report'!$A$9:$D$310,4,FALSE)*'PY_OPEB Amounts'!$I$323,0)</f>
        <v>3675453</v>
      </c>
      <c r="J91" s="122">
        <f>ROUND(VLOOKUP(A91,'[2]Contribution Allocation_Report'!$A$9:$D$310,4,FALSE)*'PY_OPEB Amounts'!$J$323,0)</f>
        <v>660611</v>
      </c>
      <c r="K91" s="122">
        <f>ROUND(VLOOKUP(A91,'[2]Contribution Allocation_Report'!$A$9:$D$310,4,FALSE)*'PY_OPEB Amounts'!$K$323,0)</f>
        <v>8332162</v>
      </c>
      <c r="L91" s="131">
        <f>INDEX('[2]Change in Proportion Layers'!$AA$8:$AA$321,MATCH('PY_OPEB Amounts'!A91,'[2]Change in Proportion Layers'!$A$8:$A$321,0))</f>
        <v>722540</v>
      </c>
      <c r="M91" s="122">
        <f t="shared" si="4"/>
        <v>13390766</v>
      </c>
      <c r="N91" s="123"/>
      <c r="O91" s="123">
        <f>ROUND(VLOOKUP(A91,'[2]Contribution Allocation_Report'!$A$9:$D$310,4,FALSE)*'PY_OPEB Amounts'!$O$323,0)</f>
        <v>-2481926</v>
      </c>
      <c r="P91" s="123">
        <f>INDEX('[2]Change in Proportion Layers'!$X$8:$X$321,MATCH('PY_OPEB Amounts'!A91,'[2]Change in Proportion Layers'!$A$8:$A$321,0))</f>
        <v>320469</v>
      </c>
      <c r="Q91" s="123">
        <f t="shared" si="5"/>
        <v>-2161457</v>
      </c>
    </row>
    <row r="92" spans="1:17" ht="12" customHeight="1">
      <c r="A92" s="164">
        <v>18057</v>
      </c>
      <c r="B92" s="168" t="s">
        <v>82</v>
      </c>
      <c r="C92" s="120">
        <f>ROUND(VLOOKUP(A92,'[2]Contribution Allocation_Report'!$A$9:$D$310,4,FALSE)*'PY_OPEB Amounts'!$C$323,0)</f>
        <v>844304</v>
      </c>
      <c r="D92" s="120">
        <f>ROUND(VLOOKUP(A92,'[2]Contribution Allocation_Report'!$A$9:$D$310,4,FALSE)*'PY_OPEB Amounts'!$D$323,0)</f>
        <v>12345</v>
      </c>
      <c r="E92" s="120">
        <f>ROUND(VLOOKUP(A92,'[2]Contribution Allocation_Report'!$A$9:$D$310,4,FALSE)*'PY_OPEB Amounts'!$E$323,0)</f>
        <v>169037</v>
      </c>
      <c r="F92" s="120">
        <f>INDEX('[2]Change in Proportion Layers'!$Z$8:$Z$321,MATCH('PY_OPEB Amounts'!A92,'[2]Change in Proportion Layers'!$A$8:$A$321,0))</f>
        <v>32280</v>
      </c>
      <c r="G92" s="120">
        <f t="shared" si="3"/>
        <v>213662</v>
      </c>
      <c r="H92" s="120"/>
      <c r="I92" s="120">
        <f>ROUND(VLOOKUP(A92,'[2]Contribution Allocation_Report'!$A$9:$D$310,4,FALSE)*'PY_OPEB Amounts'!$I$323,0)</f>
        <v>134649</v>
      </c>
      <c r="J92" s="120">
        <f>ROUND(VLOOKUP(A92,'[2]Contribution Allocation_Report'!$A$9:$D$310,4,FALSE)*'PY_OPEB Amounts'!$J$323,0)</f>
        <v>24201</v>
      </c>
      <c r="K92" s="120">
        <f>ROUND(VLOOKUP(A92,'[2]Contribution Allocation_Report'!$A$9:$D$310,4,FALSE)*'PY_OPEB Amounts'!$K$323,0)</f>
        <v>305246</v>
      </c>
      <c r="L92" s="130">
        <f>INDEX('[2]Change in Proportion Layers'!$AA$8:$AA$321,MATCH('PY_OPEB Amounts'!A92,'[2]Change in Proportion Layers'!$A$8:$A$321,0))</f>
        <v>37586</v>
      </c>
      <c r="M92" s="120">
        <f t="shared" si="4"/>
        <v>501682</v>
      </c>
      <c r="N92" s="121"/>
      <c r="O92" s="121">
        <f>ROUND(VLOOKUP(A92,'[2]Contribution Allocation_Report'!$A$9:$D$310,4,FALSE)*'PY_OPEB Amounts'!$O$323,0)</f>
        <v>-90924</v>
      </c>
      <c r="P92" s="121">
        <f>INDEX('[2]Change in Proportion Layers'!$X$8:$X$321,MATCH('PY_OPEB Amounts'!A92,'[2]Change in Proportion Layers'!$A$8:$A$321,0))</f>
        <v>2800</v>
      </c>
      <c r="Q92" s="121">
        <f t="shared" si="5"/>
        <v>-88124</v>
      </c>
    </row>
    <row r="93" spans="1:17" ht="12" customHeight="1">
      <c r="A93" s="166">
        <v>4008</v>
      </c>
      <c r="B93" s="167" t="s">
        <v>83</v>
      </c>
      <c r="C93" s="122">
        <f>ROUND(VLOOKUP(A93,'[2]Contribution Allocation_Report'!$A$9:$D$310,4,FALSE)*'PY_OPEB Amounts'!$C$323,0)</f>
        <v>3846419</v>
      </c>
      <c r="D93" s="122">
        <f>ROUND(VLOOKUP(A93,'[2]Contribution Allocation_Report'!$A$9:$D$310,4,FALSE)*'PY_OPEB Amounts'!$D$323,0)</f>
        <v>56240</v>
      </c>
      <c r="E93" s="122">
        <f>ROUND(VLOOKUP(A93,'[2]Contribution Allocation_Report'!$A$9:$D$310,4,FALSE)*'PY_OPEB Amounts'!$E$323,0)</f>
        <v>770089</v>
      </c>
      <c r="F93" s="122">
        <f>INDEX('[2]Change in Proportion Layers'!$Z$8:$Z$321,MATCH('PY_OPEB Amounts'!A93,'[2]Change in Proportion Layers'!$A$8:$A$321,0))</f>
        <v>132291</v>
      </c>
      <c r="G93" s="122">
        <f t="shared" si="3"/>
        <v>958620</v>
      </c>
      <c r="H93" s="122"/>
      <c r="I93" s="122">
        <f>ROUND(VLOOKUP(A93,'[2]Contribution Allocation_Report'!$A$9:$D$310,4,FALSE)*'PY_OPEB Amounts'!$I$323,0)</f>
        <v>613424</v>
      </c>
      <c r="J93" s="122">
        <f>ROUND(VLOOKUP(A93,'[2]Contribution Allocation_Report'!$A$9:$D$310,4,FALSE)*'PY_OPEB Amounts'!$J$323,0)</f>
        <v>110254</v>
      </c>
      <c r="K93" s="122">
        <f>ROUND(VLOOKUP(A93,'[2]Contribution Allocation_Report'!$A$9:$D$310,4,FALSE)*'PY_OPEB Amounts'!$K$323,0)</f>
        <v>1390617</v>
      </c>
      <c r="L93" s="122">
        <f>INDEX('[2]Change in Proportion Layers'!$AA$8:$AA$321,MATCH('PY_OPEB Amounts'!A93,'[2]Change in Proportion Layers'!$A$8:$A$321,0))</f>
        <v>508598</v>
      </c>
      <c r="M93" s="122">
        <f t="shared" si="4"/>
        <v>2622893</v>
      </c>
      <c r="N93" s="123"/>
      <c r="O93" s="123">
        <f>ROUND(VLOOKUP(A93,'[2]Contribution Allocation_Report'!$A$9:$D$310,4,FALSE)*'PY_OPEB Amounts'!$O$323,0)</f>
        <v>-414227</v>
      </c>
      <c r="P93" s="123">
        <f>INDEX('[2]Change in Proportion Layers'!$X$8:$X$321,MATCH('PY_OPEB Amounts'!A93,'[2]Change in Proportion Layers'!$A$8:$A$321,0))</f>
        <v>-186683</v>
      </c>
      <c r="Q93" s="123">
        <f t="shared" si="5"/>
        <v>-600910</v>
      </c>
    </row>
    <row r="94" spans="1:17" ht="12" customHeight="1">
      <c r="A94" s="164">
        <v>2350</v>
      </c>
      <c r="B94" s="168" t="s">
        <v>84</v>
      </c>
      <c r="C94" s="120">
        <f>ROUND(VLOOKUP(A94,'[2]Contribution Allocation_Report'!$A$9:$D$310,4,FALSE)*'PY_OPEB Amounts'!$C$323,0)</f>
        <v>1272049</v>
      </c>
      <c r="D94" s="120">
        <f>ROUND(VLOOKUP(A94,'[2]Contribution Allocation_Report'!$A$9:$D$310,4,FALSE)*'PY_OPEB Amounts'!$D$323,0)</f>
        <v>18599</v>
      </c>
      <c r="E94" s="120">
        <f>ROUND(VLOOKUP(A94,'[2]Contribution Allocation_Report'!$A$9:$D$310,4,FALSE)*'PY_OPEB Amounts'!$E$323,0)</f>
        <v>254676</v>
      </c>
      <c r="F94" s="120">
        <f>INDEX('[2]Change in Proportion Layers'!$Z$8:$Z$321,MATCH('PY_OPEB Amounts'!A94,'[2]Change in Proportion Layers'!$A$8:$A$321,0))</f>
        <v>203331</v>
      </c>
      <c r="G94" s="120">
        <f t="shared" si="3"/>
        <v>476606</v>
      </c>
      <c r="H94" s="120"/>
      <c r="I94" s="120">
        <f>ROUND(VLOOKUP(A94,'[2]Contribution Allocation_Report'!$A$9:$D$310,4,FALSE)*'PY_OPEB Amounts'!$I$323,0)</f>
        <v>202865</v>
      </c>
      <c r="J94" s="120">
        <f>ROUND(VLOOKUP(A94,'[2]Contribution Allocation_Report'!$A$9:$D$310,4,FALSE)*'PY_OPEB Amounts'!$J$323,0)</f>
        <v>36462</v>
      </c>
      <c r="K94" s="120">
        <f>ROUND(VLOOKUP(A94,'[2]Contribution Allocation_Report'!$A$9:$D$310,4,FALSE)*'PY_OPEB Amounts'!$K$323,0)</f>
        <v>459891</v>
      </c>
      <c r="L94" s="120">
        <f>INDEX('[2]Change in Proportion Layers'!$AA$8:$AA$321,MATCH('PY_OPEB Amounts'!A94,'[2]Change in Proportion Layers'!$A$8:$A$321,0))</f>
        <v>81634</v>
      </c>
      <c r="M94" s="120">
        <f t="shared" si="4"/>
        <v>780852</v>
      </c>
      <c r="N94" s="121"/>
      <c r="O94" s="121">
        <f>ROUND(VLOOKUP(A94,'[2]Contribution Allocation_Report'!$A$9:$D$310,4,FALSE)*'PY_OPEB Amounts'!$O$323,0)</f>
        <v>-136989</v>
      </c>
      <c r="P94" s="121">
        <f>INDEX('[2]Change in Proportion Layers'!$X$8:$X$321,MATCH('PY_OPEB Amounts'!A94,'[2]Change in Proportion Layers'!$A$8:$A$321,0))</f>
        <v>-2481</v>
      </c>
      <c r="Q94" s="121">
        <f t="shared" si="5"/>
        <v>-139470</v>
      </c>
    </row>
    <row r="95" spans="1:17" ht="12" customHeight="1">
      <c r="A95" s="166">
        <v>11117</v>
      </c>
      <c r="B95" s="167" t="s">
        <v>85</v>
      </c>
      <c r="C95" s="122">
        <f>ROUND(VLOOKUP(A95,'[2]Contribution Allocation_Report'!$A$9:$D$310,4,FALSE)*'PY_OPEB Amounts'!$C$323,0)</f>
        <v>1423734</v>
      </c>
      <c r="D95" s="122">
        <f>ROUND(VLOOKUP(A95,'[2]Contribution Allocation_Report'!$A$9:$D$310,4,FALSE)*'PY_OPEB Amounts'!$D$323,0)</f>
        <v>20817</v>
      </c>
      <c r="E95" s="122">
        <f>ROUND(VLOOKUP(A95,'[2]Contribution Allocation_Report'!$A$9:$D$310,4,FALSE)*'PY_OPEB Amounts'!$E$323,0)</f>
        <v>285045</v>
      </c>
      <c r="F95" s="122">
        <f>INDEX('[2]Change in Proportion Layers'!$Z$8:$Z$321,MATCH('PY_OPEB Amounts'!A95,'[2]Change in Proportion Layers'!$A$8:$A$321,0))</f>
        <v>47359</v>
      </c>
      <c r="G95" s="122">
        <f t="shared" si="3"/>
        <v>353221</v>
      </c>
      <c r="H95" s="122"/>
      <c r="I95" s="122">
        <f>ROUND(VLOOKUP(A95,'[2]Contribution Allocation_Report'!$A$9:$D$310,4,FALSE)*'PY_OPEB Amounts'!$I$323,0)</f>
        <v>227056</v>
      </c>
      <c r="J95" s="122">
        <f>ROUND(VLOOKUP(A95,'[2]Contribution Allocation_Report'!$A$9:$D$310,4,FALSE)*'PY_OPEB Amounts'!$J$323,0)</f>
        <v>40810</v>
      </c>
      <c r="K95" s="122">
        <f>ROUND(VLOOKUP(A95,'[2]Contribution Allocation_Report'!$A$9:$D$310,4,FALSE)*'PY_OPEB Amounts'!$K$323,0)</f>
        <v>514730</v>
      </c>
      <c r="L95" s="131">
        <f>INDEX('[2]Change in Proportion Layers'!$AA$8:$AA$321,MATCH('PY_OPEB Amounts'!A95,'[2]Change in Proportion Layers'!$A$8:$A$321,0))</f>
        <v>27299</v>
      </c>
      <c r="M95" s="122">
        <f t="shared" si="4"/>
        <v>809895</v>
      </c>
      <c r="N95" s="123"/>
      <c r="O95" s="123">
        <f>ROUND(VLOOKUP(A95,'[2]Contribution Allocation_Report'!$A$9:$D$310,4,FALSE)*'PY_OPEB Amounts'!$O$323,0)</f>
        <v>-153324</v>
      </c>
      <c r="P95" s="123">
        <f>INDEX('[2]Change in Proportion Layers'!$X$8:$X$321,MATCH('PY_OPEB Amounts'!A95,'[2]Change in Proportion Layers'!$A$8:$A$321,0))</f>
        <v>-2210</v>
      </c>
      <c r="Q95" s="123">
        <f t="shared" si="5"/>
        <v>-155534</v>
      </c>
    </row>
    <row r="96" spans="1:17" ht="12" customHeight="1">
      <c r="A96" s="164">
        <v>16359</v>
      </c>
      <c r="B96" s="168" t="s">
        <v>86</v>
      </c>
      <c r="C96" s="120">
        <f>ROUND(VLOOKUP(A96,'[2]Contribution Allocation_Report'!$A$9:$D$310,4,FALSE)*'PY_OPEB Amounts'!$C$323,0)</f>
        <v>229337</v>
      </c>
      <c r="D96" s="120">
        <f>ROUND(VLOOKUP(A96,'[2]Contribution Allocation_Report'!$A$9:$D$310,4,FALSE)*'PY_OPEB Amounts'!$D$323,0)</f>
        <v>3353</v>
      </c>
      <c r="E96" s="120">
        <f>ROUND(VLOOKUP(A96,'[2]Contribution Allocation_Report'!$A$9:$D$310,4,FALSE)*'PY_OPEB Amounts'!$E$323,0)</f>
        <v>45915</v>
      </c>
      <c r="F96" s="120">
        <f>INDEX('[2]Change in Proportion Layers'!$Z$8:$Z$321,MATCH('PY_OPEB Amounts'!A96,'[2]Change in Proportion Layers'!$A$8:$A$321,0))</f>
        <v>78808</v>
      </c>
      <c r="G96" s="120">
        <f t="shared" si="3"/>
        <v>128076</v>
      </c>
      <c r="H96" s="120"/>
      <c r="I96" s="120">
        <f>ROUND(VLOOKUP(A96,'[2]Contribution Allocation_Report'!$A$9:$D$310,4,FALSE)*'PY_OPEB Amounts'!$I$323,0)</f>
        <v>36575</v>
      </c>
      <c r="J96" s="120">
        <f>ROUND(VLOOKUP(A96,'[2]Contribution Allocation_Report'!$A$9:$D$310,4,FALSE)*'PY_OPEB Amounts'!$J$323,0)</f>
        <v>6574</v>
      </c>
      <c r="K96" s="120">
        <f>ROUND(VLOOKUP(A96,'[2]Contribution Allocation_Report'!$A$9:$D$310,4,FALSE)*'PY_OPEB Amounts'!$K$323,0)</f>
        <v>82914</v>
      </c>
      <c r="L96" s="130">
        <f>INDEX('[2]Change in Proportion Layers'!$AA$8:$AA$321,MATCH('PY_OPEB Amounts'!A96,'[2]Change in Proportion Layers'!$A$8:$A$321,0))</f>
        <v>25101</v>
      </c>
      <c r="M96" s="120">
        <f t="shared" si="4"/>
        <v>151164</v>
      </c>
      <c r="N96" s="121"/>
      <c r="O96" s="121">
        <f>ROUND(VLOOKUP(A96,'[2]Contribution Allocation_Report'!$A$9:$D$310,4,FALSE)*'PY_OPEB Amounts'!$O$323,0)</f>
        <v>-24698</v>
      </c>
      <c r="P96" s="121">
        <f>INDEX('[2]Change in Proportion Layers'!$X$8:$X$321,MATCH('PY_OPEB Amounts'!A96,'[2]Change in Proportion Layers'!$A$8:$A$321,0))</f>
        <v>15539</v>
      </c>
      <c r="Q96" s="121">
        <f t="shared" si="5"/>
        <v>-9159</v>
      </c>
    </row>
    <row r="97" spans="1:17" ht="12" customHeight="1">
      <c r="A97" s="166">
        <v>17115</v>
      </c>
      <c r="B97" s="167" t="s">
        <v>87</v>
      </c>
      <c r="C97" s="122">
        <f>ROUND(VLOOKUP(A97,'[2]Contribution Allocation_Report'!$A$9:$D$310,4,FALSE)*'PY_OPEB Amounts'!$C$323,0)</f>
        <v>3968162</v>
      </c>
      <c r="D97" s="122">
        <f>ROUND(VLOOKUP(A97,'[2]Contribution Allocation_Report'!$A$9:$D$310,4,FALSE)*'PY_OPEB Amounts'!$D$323,0)</f>
        <v>58020</v>
      </c>
      <c r="E97" s="122">
        <f>ROUND(VLOOKUP(A97,'[2]Contribution Allocation_Report'!$A$9:$D$310,4,FALSE)*'PY_OPEB Amounts'!$E$323,0)</f>
        <v>794463</v>
      </c>
      <c r="F97" s="122">
        <f>INDEX('[2]Change in Proportion Layers'!$Z$8:$Z$321,MATCH('PY_OPEB Amounts'!A97,'[2]Change in Proportion Layers'!$A$8:$A$321,0))</f>
        <v>261846</v>
      </c>
      <c r="G97" s="122">
        <f t="shared" si="3"/>
        <v>1114329</v>
      </c>
      <c r="H97" s="122"/>
      <c r="I97" s="122">
        <f>ROUND(VLOOKUP(A97,'[2]Contribution Allocation_Report'!$A$9:$D$310,4,FALSE)*'PY_OPEB Amounts'!$I$323,0)</f>
        <v>632839</v>
      </c>
      <c r="J97" s="122">
        <f>ROUND(VLOOKUP(A97,'[2]Contribution Allocation_Report'!$A$9:$D$310,4,FALSE)*'PY_OPEB Amounts'!$J$323,0)</f>
        <v>113744</v>
      </c>
      <c r="K97" s="122">
        <f>ROUND(VLOOKUP(A97,'[2]Contribution Allocation_Report'!$A$9:$D$310,4,FALSE)*'PY_OPEB Amounts'!$K$323,0)</f>
        <v>1434631</v>
      </c>
      <c r="L97" s="122">
        <f>INDEX('[2]Change in Proportion Layers'!$AA$8:$AA$321,MATCH('PY_OPEB Amounts'!A97,'[2]Change in Proportion Layers'!$A$8:$A$321,0))</f>
        <v>497303</v>
      </c>
      <c r="M97" s="122">
        <f t="shared" si="4"/>
        <v>2678517</v>
      </c>
      <c r="N97" s="123"/>
      <c r="O97" s="123">
        <f>ROUND(VLOOKUP(A97,'[2]Contribution Allocation_Report'!$A$9:$D$310,4,FALSE)*'PY_OPEB Amounts'!$O$323,0)</f>
        <v>-427338</v>
      </c>
      <c r="P97" s="123">
        <f>INDEX('[2]Change in Proportion Layers'!$X$8:$X$321,MATCH('PY_OPEB Amounts'!A97,'[2]Change in Proportion Layers'!$A$8:$A$321,0))</f>
        <v>7481</v>
      </c>
      <c r="Q97" s="123">
        <f t="shared" si="5"/>
        <v>-419857</v>
      </c>
    </row>
    <row r="98" spans="1:17" ht="12" customHeight="1">
      <c r="A98" s="164">
        <v>32117</v>
      </c>
      <c r="B98" s="168" t="s">
        <v>88</v>
      </c>
      <c r="C98" s="120">
        <f>ROUND(VLOOKUP(A98,'[2]Contribution Allocation_Report'!$A$9:$D$310,4,FALSE)*'PY_OPEB Amounts'!$C$323,0)</f>
        <v>261254</v>
      </c>
      <c r="D98" s="120">
        <f>ROUND(VLOOKUP(A98,'[2]Contribution Allocation_Report'!$A$9:$D$310,4,FALSE)*'PY_OPEB Amounts'!$D$323,0)</f>
        <v>3820</v>
      </c>
      <c r="E98" s="120">
        <f>ROUND(VLOOKUP(A98,'[2]Contribution Allocation_Report'!$A$9:$D$310,4,FALSE)*'PY_OPEB Amounts'!$E$323,0)</f>
        <v>52305</v>
      </c>
      <c r="F98" s="120">
        <f>INDEX('[2]Change in Proportion Layers'!$Z$8:$Z$321,MATCH('PY_OPEB Amounts'!A98,'[2]Change in Proportion Layers'!$A$8:$A$321,0))</f>
        <v>100398</v>
      </c>
      <c r="G98" s="120">
        <f t="shared" si="3"/>
        <v>156523</v>
      </c>
      <c r="H98" s="120"/>
      <c r="I98" s="120">
        <f>ROUND(VLOOKUP(A98,'[2]Contribution Allocation_Report'!$A$9:$D$310,4,FALSE)*'PY_OPEB Amounts'!$I$323,0)</f>
        <v>41665</v>
      </c>
      <c r="J98" s="120">
        <f>ROUND(VLOOKUP(A98,'[2]Contribution Allocation_Report'!$A$9:$D$310,4,FALSE)*'PY_OPEB Amounts'!$J$323,0)</f>
        <v>7489</v>
      </c>
      <c r="K98" s="120">
        <f>ROUND(VLOOKUP(A98,'[2]Contribution Allocation_Report'!$A$9:$D$310,4,FALSE)*'PY_OPEB Amounts'!$K$323,0)</f>
        <v>94453</v>
      </c>
      <c r="L98" s="120">
        <f>INDEX('[2]Change in Proportion Layers'!$AA$8:$AA$321,MATCH('PY_OPEB Amounts'!A98,'[2]Change in Proportion Layers'!$A$8:$A$321,0))</f>
        <v>3330</v>
      </c>
      <c r="M98" s="120">
        <f t="shared" si="4"/>
        <v>146937</v>
      </c>
      <c r="N98" s="121"/>
      <c r="O98" s="121">
        <f>ROUND(VLOOKUP(A98,'[2]Contribution Allocation_Report'!$A$9:$D$310,4,FALSE)*'PY_OPEB Amounts'!$O$323,0)</f>
        <v>-28135</v>
      </c>
      <c r="P98" s="121">
        <f>INDEX('[2]Change in Proportion Layers'!$X$8:$X$321,MATCH('PY_OPEB Amounts'!A98,'[2]Change in Proportion Layers'!$A$8:$A$321,0))</f>
        <v>33457</v>
      </c>
      <c r="Q98" s="121">
        <f t="shared" si="5"/>
        <v>5322</v>
      </c>
    </row>
    <row r="99" spans="1:17" ht="12" customHeight="1">
      <c r="A99" s="166">
        <v>2304</v>
      </c>
      <c r="B99" s="167" t="s">
        <v>89</v>
      </c>
      <c r="C99" s="122">
        <f>ROUND(VLOOKUP(A99,'[2]Contribution Allocation_Report'!$A$9:$D$310,4,FALSE)*'PY_OPEB Amounts'!$C$323,0)</f>
        <v>1537251</v>
      </c>
      <c r="D99" s="122">
        <f>ROUND(VLOOKUP(A99,'[2]Contribution Allocation_Report'!$A$9:$D$310,4,FALSE)*'PY_OPEB Amounts'!$D$323,0)</f>
        <v>22477</v>
      </c>
      <c r="E99" s="122">
        <f>ROUND(VLOOKUP(A99,'[2]Contribution Allocation_Report'!$A$9:$D$310,4,FALSE)*'PY_OPEB Amounts'!$E$323,0)</f>
        <v>307772</v>
      </c>
      <c r="F99" s="122">
        <f>INDEX('[2]Change in Proportion Layers'!$Z$8:$Z$321,MATCH('PY_OPEB Amounts'!A99,'[2]Change in Proportion Layers'!$A$8:$A$321,0))</f>
        <v>87794</v>
      </c>
      <c r="G99" s="122">
        <f t="shared" si="3"/>
        <v>418043</v>
      </c>
      <c r="H99" s="122"/>
      <c r="I99" s="122">
        <f>ROUND(VLOOKUP(A99,'[2]Contribution Allocation_Report'!$A$9:$D$310,4,FALSE)*'PY_OPEB Amounts'!$I$323,0)</f>
        <v>245160</v>
      </c>
      <c r="J99" s="122">
        <f>ROUND(VLOOKUP(A99,'[2]Contribution Allocation_Report'!$A$9:$D$310,4,FALSE)*'PY_OPEB Amounts'!$J$323,0)</f>
        <v>44064</v>
      </c>
      <c r="K99" s="122">
        <f>ROUND(VLOOKUP(A99,'[2]Contribution Allocation_Report'!$A$9:$D$310,4,FALSE)*'PY_OPEB Amounts'!$K$323,0)</f>
        <v>555771</v>
      </c>
      <c r="L99" s="122">
        <f>INDEX('[2]Change in Proportion Layers'!$AA$8:$AA$321,MATCH('PY_OPEB Amounts'!A99,'[2]Change in Proportion Layers'!$A$8:$A$321,0))</f>
        <v>3679</v>
      </c>
      <c r="M99" s="122">
        <f t="shared" si="4"/>
        <v>848674</v>
      </c>
      <c r="N99" s="123"/>
      <c r="O99" s="123">
        <f>ROUND(VLOOKUP(A99,'[2]Contribution Allocation_Report'!$A$9:$D$310,4,FALSE)*'PY_OPEB Amounts'!$O$323,0)</f>
        <v>-165549</v>
      </c>
      <c r="P99" s="123">
        <f>INDEX('[2]Change in Proportion Layers'!$X$8:$X$321,MATCH('PY_OPEB Amounts'!A99,'[2]Change in Proportion Layers'!$A$8:$A$321,0))</f>
        <v>18572</v>
      </c>
      <c r="Q99" s="123">
        <f t="shared" si="5"/>
        <v>-146977</v>
      </c>
    </row>
    <row r="100" spans="1:17" ht="12" customHeight="1">
      <c r="A100" s="164">
        <v>11101</v>
      </c>
      <c r="B100" s="168" t="s">
        <v>91</v>
      </c>
      <c r="C100" s="120">
        <f>ROUND(VLOOKUP(A100,'[2]Contribution Allocation_Report'!$A$9:$D$310,4,FALSE)*'PY_OPEB Amounts'!$C$323,0)</f>
        <v>20869702</v>
      </c>
      <c r="D100" s="120">
        <f>ROUND(VLOOKUP(A100,'[2]Contribution Allocation_Report'!$A$9:$D$310,4,FALSE)*'PY_OPEB Amounts'!$D$323,0)</f>
        <v>305143</v>
      </c>
      <c r="E100" s="120">
        <f>ROUND(VLOOKUP(A100,'[2]Contribution Allocation_Report'!$A$9:$D$310,4,FALSE)*'PY_OPEB Amounts'!$E$323,0)</f>
        <v>4178307</v>
      </c>
      <c r="F100" s="120">
        <f>INDEX('[2]Change in Proportion Layers'!$Z$8:$Z$321,MATCH('PY_OPEB Amounts'!A100,'[2]Change in Proportion Layers'!$A$8:$A$321,0))</f>
        <v>1025959</v>
      </c>
      <c r="G100" s="120">
        <f t="shared" si="3"/>
        <v>5509409</v>
      </c>
      <c r="H100" s="120"/>
      <c r="I100" s="120">
        <f>ROUND(VLOOKUP(A100,'[2]Contribution Allocation_Report'!$A$9:$D$310,4,FALSE)*'PY_OPEB Amounts'!$I$323,0)</f>
        <v>3328283</v>
      </c>
      <c r="J100" s="120">
        <f>ROUND(VLOOKUP(A100,'[2]Contribution Allocation_Report'!$A$9:$D$310,4,FALSE)*'PY_OPEB Amounts'!$J$323,0)</f>
        <v>598212</v>
      </c>
      <c r="K100" s="120">
        <f>ROUND(VLOOKUP(A100,'[2]Contribution Allocation_Report'!$A$9:$D$310,4,FALSE)*'PY_OPEB Amounts'!$K$323,0)</f>
        <v>7545137</v>
      </c>
      <c r="L100" s="120">
        <f>INDEX('[2]Change in Proportion Layers'!$AA$8:$AA$321,MATCH('PY_OPEB Amounts'!A100,'[2]Change in Proportion Layers'!$A$8:$A$321,0))</f>
        <v>3422078</v>
      </c>
      <c r="M100" s="120">
        <f t="shared" si="4"/>
        <v>14893710</v>
      </c>
      <c r="N100" s="121"/>
      <c r="O100" s="121">
        <f>ROUND(VLOOKUP(A100,'[2]Contribution Allocation_Report'!$A$9:$D$310,4,FALSE)*'PY_OPEB Amounts'!$O$323,0)</f>
        <v>-2247492</v>
      </c>
      <c r="P100" s="121">
        <f>INDEX('[2]Change in Proportion Layers'!$X$8:$X$321,MATCH('PY_OPEB Amounts'!A100,'[2]Change in Proportion Layers'!$A$8:$A$321,0))</f>
        <v>-807691</v>
      </c>
      <c r="Q100" s="121">
        <f t="shared" si="5"/>
        <v>-3055183</v>
      </c>
    </row>
    <row r="101" spans="1:17" ht="12" customHeight="1">
      <c r="A101" s="166">
        <v>11102</v>
      </c>
      <c r="B101" s="167" t="s">
        <v>90</v>
      </c>
      <c r="C101" s="122">
        <f>ROUND(VLOOKUP(A101,'[2]Contribution Allocation_Report'!$A$9:$D$310,4,FALSE)*'PY_OPEB Amounts'!$C$323,0)</f>
        <v>6548454</v>
      </c>
      <c r="D101" s="122">
        <f>ROUND(VLOOKUP(A101,'[2]Contribution Allocation_Report'!$A$9:$D$310,4,FALSE)*'PY_OPEB Amounts'!$D$323,0)</f>
        <v>95747</v>
      </c>
      <c r="E101" s="122">
        <f>ROUND(VLOOKUP(A101,'[2]Contribution Allocation_Report'!$A$9:$D$310,4,FALSE)*'PY_OPEB Amounts'!$E$323,0)</f>
        <v>1311061</v>
      </c>
      <c r="F101" s="122">
        <f>INDEX('[2]Change in Proportion Layers'!$Z$8:$Z$321,MATCH('PY_OPEB Amounts'!A101,'[2]Change in Proportion Layers'!$A$8:$A$321,0))</f>
        <v>4516</v>
      </c>
      <c r="G101" s="122">
        <f t="shared" si="3"/>
        <v>1411324</v>
      </c>
      <c r="H101" s="122"/>
      <c r="I101" s="122">
        <f>ROUND(VLOOKUP(A101,'[2]Contribution Allocation_Report'!$A$9:$D$310,4,FALSE)*'PY_OPEB Amounts'!$I$323,0)</f>
        <v>1044342</v>
      </c>
      <c r="J101" s="122">
        <f>ROUND(VLOOKUP(A101,'[2]Contribution Allocation_Report'!$A$9:$D$310,4,FALSE)*'PY_OPEB Amounts'!$J$323,0)</f>
        <v>187706</v>
      </c>
      <c r="K101" s="122">
        <f>ROUND(VLOOKUP(A101,'[2]Contribution Allocation_Report'!$A$9:$D$310,4,FALSE)*'PY_OPEB Amounts'!$K$323,0)</f>
        <v>2367498</v>
      </c>
      <c r="L101" s="131">
        <f>INDEX('[2]Change in Proportion Layers'!$AA$8:$AA$321,MATCH('PY_OPEB Amounts'!A101,'[2]Change in Proportion Layers'!$A$8:$A$321,0))</f>
        <v>1343746</v>
      </c>
      <c r="M101" s="122">
        <f t="shared" si="4"/>
        <v>4943292</v>
      </c>
      <c r="N101" s="123"/>
      <c r="O101" s="123">
        <f>ROUND(VLOOKUP(A101,'[2]Contribution Allocation_Report'!$A$9:$D$310,4,FALSE)*'PY_OPEB Amounts'!$O$323,0)</f>
        <v>-705214</v>
      </c>
      <c r="P101" s="123">
        <f>INDEX('[2]Change in Proportion Layers'!$X$8:$X$321,MATCH('PY_OPEB Amounts'!A101,'[2]Change in Proportion Layers'!$A$8:$A$321,0))</f>
        <v>-335471</v>
      </c>
      <c r="Q101" s="123">
        <f t="shared" si="5"/>
        <v>-1040685</v>
      </c>
    </row>
    <row r="102" spans="1:17" ht="12" customHeight="1">
      <c r="A102" s="164">
        <v>3100</v>
      </c>
      <c r="B102" s="168" t="s">
        <v>92</v>
      </c>
      <c r="C102" s="120">
        <f>ROUND(VLOOKUP(A102,'[2]Contribution Allocation_Report'!$A$9:$D$310,4,FALSE)*'PY_OPEB Amounts'!$C$323,0)</f>
        <v>14874355</v>
      </c>
      <c r="D102" s="120">
        <f>ROUND(VLOOKUP(A102,'[2]Contribution Allocation_Report'!$A$9:$D$310,4,FALSE)*'PY_OPEB Amounts'!$D$323,0)</f>
        <v>217483</v>
      </c>
      <c r="E102" s="120">
        <f>ROUND(VLOOKUP(A102,'[2]Contribution Allocation_Report'!$A$9:$D$310,4,FALSE)*'PY_OPEB Amounts'!$E$323,0)</f>
        <v>2977984</v>
      </c>
      <c r="F102" s="120">
        <f>INDEX('[2]Change in Proportion Layers'!$Z$8:$Z$321,MATCH('PY_OPEB Amounts'!A102,'[2]Change in Proportion Layers'!$A$8:$A$321,0))</f>
        <v>1975214</v>
      </c>
      <c r="G102" s="120">
        <f t="shared" si="3"/>
        <v>5170681</v>
      </c>
      <c r="H102" s="120"/>
      <c r="I102" s="120">
        <f>ROUND(VLOOKUP(A102,'[2]Contribution Allocation_Report'!$A$9:$D$310,4,FALSE)*'PY_OPEB Amounts'!$I$323,0)</f>
        <v>2372150</v>
      </c>
      <c r="J102" s="120">
        <f>ROUND(VLOOKUP(A102,'[2]Contribution Allocation_Report'!$A$9:$D$310,4,FALSE)*'PY_OPEB Amounts'!$J$323,0)</f>
        <v>426361</v>
      </c>
      <c r="K102" s="120">
        <f>ROUND(VLOOKUP(A102,'[2]Contribution Allocation_Report'!$A$9:$D$310,4,FALSE)*'PY_OPEB Amounts'!$K$323,0)</f>
        <v>5377607</v>
      </c>
      <c r="L102" s="130">
        <f>INDEX('[2]Change in Proportion Layers'!$AA$8:$AA$321,MATCH('PY_OPEB Amounts'!A102,'[2]Change in Proportion Layers'!$A$8:$A$321,0))</f>
        <v>456249</v>
      </c>
      <c r="M102" s="120">
        <f t="shared" si="4"/>
        <v>8632367</v>
      </c>
      <c r="N102" s="121"/>
      <c r="O102" s="121">
        <f>ROUND(VLOOKUP(A102,'[2]Contribution Allocation_Report'!$A$9:$D$310,4,FALSE)*'PY_OPEB Amounts'!$O$323,0)</f>
        <v>-1601844</v>
      </c>
      <c r="P102" s="121">
        <f>INDEX('[2]Change in Proportion Layers'!$X$8:$X$321,MATCH('PY_OPEB Amounts'!A102,'[2]Change in Proportion Layers'!$A$8:$A$321,0))</f>
        <v>390805</v>
      </c>
      <c r="Q102" s="121">
        <f t="shared" si="5"/>
        <v>-1211039</v>
      </c>
    </row>
    <row r="103" spans="1:17" ht="12" customHeight="1">
      <c r="A103" s="166">
        <v>2323</v>
      </c>
      <c r="B103" s="167" t="s">
        <v>93</v>
      </c>
      <c r="C103" s="122">
        <f>ROUND(VLOOKUP(A103,'[2]Contribution Allocation_Report'!$A$9:$D$310,4,FALSE)*'PY_OPEB Amounts'!$C$323,0)</f>
        <v>1418799</v>
      </c>
      <c r="D103" s="122">
        <f>ROUND(VLOOKUP(A103,'[2]Contribution Allocation_Report'!$A$9:$D$310,4,FALSE)*'PY_OPEB Amounts'!$D$323,0)</f>
        <v>20745</v>
      </c>
      <c r="E103" s="122">
        <f>ROUND(VLOOKUP(A103,'[2]Contribution Allocation_Report'!$A$9:$D$310,4,FALSE)*'PY_OPEB Amounts'!$E$323,0)</f>
        <v>284057</v>
      </c>
      <c r="F103" s="122">
        <f>INDEX('[2]Change in Proportion Layers'!$Z$8:$Z$321,MATCH('PY_OPEB Amounts'!A103,'[2]Change in Proportion Layers'!$A$8:$A$321,0))</f>
        <v>168050</v>
      </c>
      <c r="G103" s="122">
        <f t="shared" si="3"/>
        <v>472852</v>
      </c>
      <c r="H103" s="122"/>
      <c r="I103" s="122">
        <f>ROUND(VLOOKUP(A103,'[2]Contribution Allocation_Report'!$A$9:$D$310,4,FALSE)*'PY_OPEB Amounts'!$I$323,0)</f>
        <v>226269</v>
      </c>
      <c r="J103" s="122">
        <f>ROUND(VLOOKUP(A103,'[2]Contribution Allocation_Report'!$A$9:$D$310,4,FALSE)*'PY_OPEB Amounts'!$J$323,0)</f>
        <v>40669</v>
      </c>
      <c r="K103" s="122">
        <f>ROUND(VLOOKUP(A103,'[2]Contribution Allocation_Report'!$A$9:$D$310,4,FALSE)*'PY_OPEB Amounts'!$K$323,0)</f>
        <v>512946</v>
      </c>
      <c r="L103" s="131">
        <f>INDEX('[2]Change in Proportion Layers'!$AA$8:$AA$321,MATCH('PY_OPEB Amounts'!A103,'[2]Change in Proportion Layers'!$A$8:$A$321,0))</f>
        <v>42963</v>
      </c>
      <c r="M103" s="122">
        <f t="shared" si="4"/>
        <v>822847</v>
      </c>
      <c r="N103" s="123"/>
      <c r="O103" s="123">
        <f>ROUND(VLOOKUP(A103,'[2]Contribution Allocation_Report'!$A$9:$D$310,4,FALSE)*'PY_OPEB Amounts'!$O$323,0)</f>
        <v>-152793</v>
      </c>
      <c r="P103" s="123">
        <f>INDEX('[2]Change in Proportion Layers'!$X$8:$X$321,MATCH('PY_OPEB Amounts'!A103,'[2]Change in Proportion Layers'!$A$8:$A$321,0))</f>
        <v>22716</v>
      </c>
      <c r="Q103" s="123">
        <f t="shared" si="5"/>
        <v>-130077</v>
      </c>
    </row>
    <row r="104" spans="1:17" ht="12" customHeight="1">
      <c r="A104" s="164">
        <v>11034</v>
      </c>
      <c r="B104" s="168" t="s">
        <v>94</v>
      </c>
      <c r="C104" s="120">
        <f>ROUND(VLOOKUP(A104,'[2]Contribution Allocation_Report'!$A$9:$D$310,4,FALSE)*'PY_OPEB Amounts'!$C$323,0)</f>
        <v>1032183</v>
      </c>
      <c r="D104" s="120">
        <f>ROUND(VLOOKUP(A104,'[2]Contribution Allocation_Report'!$A$9:$D$310,4,FALSE)*'PY_OPEB Amounts'!$D$323,0)</f>
        <v>15092</v>
      </c>
      <c r="E104" s="120">
        <f>ROUND(VLOOKUP(A104,'[2]Contribution Allocation_Report'!$A$9:$D$310,4,FALSE)*'PY_OPEB Amounts'!$E$323,0)</f>
        <v>206653</v>
      </c>
      <c r="F104" s="120">
        <f>INDEX('[2]Change in Proportion Layers'!$Z$8:$Z$321,MATCH('PY_OPEB Amounts'!A104,'[2]Change in Proportion Layers'!$A$8:$A$321,0))</f>
        <v>226373</v>
      </c>
      <c r="G104" s="120">
        <f t="shared" si="3"/>
        <v>448118</v>
      </c>
      <c r="H104" s="120"/>
      <c r="I104" s="120">
        <f>ROUND(VLOOKUP(A104,'[2]Contribution Allocation_Report'!$A$9:$D$310,4,FALSE)*'PY_OPEB Amounts'!$I$323,0)</f>
        <v>164612</v>
      </c>
      <c r="J104" s="120">
        <f>ROUND(VLOOKUP(A104,'[2]Contribution Allocation_Report'!$A$9:$D$310,4,FALSE)*'PY_OPEB Amounts'!$J$323,0)</f>
        <v>29587</v>
      </c>
      <c r="K104" s="120">
        <f>ROUND(VLOOKUP(A104,'[2]Contribution Allocation_Report'!$A$9:$D$310,4,FALSE)*'PY_OPEB Amounts'!$K$323,0)</f>
        <v>373171</v>
      </c>
      <c r="L104" s="130">
        <f>INDEX('[2]Change in Proportion Layers'!$AA$8:$AA$321,MATCH('PY_OPEB Amounts'!A104,'[2]Change in Proportion Layers'!$A$8:$A$321,0))</f>
        <v>57648</v>
      </c>
      <c r="M104" s="120">
        <f t="shared" si="4"/>
        <v>625018</v>
      </c>
      <c r="N104" s="121"/>
      <c r="O104" s="121">
        <f>ROUND(VLOOKUP(A104,'[2]Contribution Allocation_Report'!$A$9:$D$310,4,FALSE)*'PY_OPEB Amounts'!$O$323,0)</f>
        <v>-111157</v>
      </c>
      <c r="P104" s="121">
        <f>INDEX('[2]Change in Proportion Layers'!$X$8:$X$321,MATCH('PY_OPEB Amounts'!A104,'[2]Change in Proportion Layers'!$A$8:$A$321,0))</f>
        <v>51308</v>
      </c>
      <c r="Q104" s="121">
        <f t="shared" si="5"/>
        <v>-59849</v>
      </c>
    </row>
    <row r="105" spans="1:17" ht="12" customHeight="1">
      <c r="A105" s="166">
        <v>17054</v>
      </c>
      <c r="B105" s="167" t="s">
        <v>95</v>
      </c>
      <c r="C105" s="122">
        <f>ROUND(VLOOKUP(A105,'[2]Contribution Allocation_Report'!$A$9:$D$310,4,FALSE)*'PY_OPEB Amounts'!$C$323,0)</f>
        <v>15965106</v>
      </c>
      <c r="D105" s="122">
        <f>ROUND(VLOOKUP(A105,'[2]Contribution Allocation_Report'!$A$9:$D$310,4,FALSE)*'PY_OPEB Amounts'!$D$323,0)</f>
        <v>233431</v>
      </c>
      <c r="E105" s="122">
        <f>ROUND(VLOOKUP(A105,'[2]Contribution Allocation_Report'!$A$9:$D$310,4,FALSE)*'PY_OPEB Amounts'!$E$323,0)</f>
        <v>3196362</v>
      </c>
      <c r="F105" s="122">
        <f>INDEX('[2]Change in Proportion Layers'!$Z$8:$Z$321,MATCH('PY_OPEB Amounts'!A105,'[2]Change in Proportion Layers'!$A$8:$A$321,0))</f>
        <v>2316862</v>
      </c>
      <c r="G105" s="122">
        <f t="shared" si="3"/>
        <v>5746655</v>
      </c>
      <c r="H105" s="122"/>
      <c r="I105" s="122">
        <f>ROUND(VLOOKUP(A105,'[2]Contribution Allocation_Report'!$A$9:$D$310,4,FALSE)*'PY_OPEB Amounts'!$I$323,0)</f>
        <v>2546102</v>
      </c>
      <c r="J105" s="122">
        <f>ROUND(VLOOKUP(A105,'[2]Contribution Allocation_Report'!$A$9:$D$310,4,FALSE)*'PY_OPEB Amounts'!$J$323,0)</f>
        <v>457626</v>
      </c>
      <c r="K105" s="122">
        <f>ROUND(VLOOKUP(A105,'[2]Contribution Allocation_Report'!$A$9:$D$310,4,FALSE)*'PY_OPEB Amounts'!$K$323,0)</f>
        <v>5771952</v>
      </c>
      <c r="L105" s="131">
        <f>INDEX('[2]Change in Proportion Layers'!$AA$8:$AA$321,MATCH('PY_OPEB Amounts'!A105,'[2]Change in Proportion Layers'!$A$8:$A$321,0))</f>
        <v>92719</v>
      </c>
      <c r="M105" s="122">
        <f t="shared" si="4"/>
        <v>8868399</v>
      </c>
      <c r="N105" s="123"/>
      <c r="O105" s="123">
        <f>ROUND(VLOOKUP(A105,'[2]Contribution Allocation_Report'!$A$9:$D$310,4,FALSE)*'PY_OPEB Amounts'!$O$323,0)</f>
        <v>-1719308</v>
      </c>
      <c r="P105" s="123">
        <f>INDEX('[2]Change in Proportion Layers'!$X$8:$X$321,MATCH('PY_OPEB Amounts'!A105,'[2]Change in Proportion Layers'!$A$8:$A$321,0))</f>
        <v>1185040</v>
      </c>
      <c r="Q105" s="123">
        <f t="shared" si="5"/>
        <v>-534268</v>
      </c>
    </row>
    <row r="106" spans="1:17" ht="12" customHeight="1">
      <c r="A106" s="164">
        <v>22065</v>
      </c>
      <c r="B106" s="165" t="s">
        <v>96</v>
      </c>
      <c r="C106" s="126">
        <f>ROUND(VLOOKUP(A106,'[2]Contribution Allocation_Report'!$A$9:$D$310,4,FALSE)*'PY_OPEB Amounts'!$C$323,0)</f>
        <v>3339047</v>
      </c>
      <c r="D106" s="126">
        <f>ROUND(VLOOKUP(A106,'[2]Contribution Allocation_Report'!$A$9:$D$310,4,FALSE)*'PY_OPEB Amounts'!$D$323,0)</f>
        <v>48821</v>
      </c>
      <c r="E106" s="126">
        <f>ROUND(VLOOKUP(A106,'[2]Contribution Allocation_Report'!$A$9:$D$310,4,FALSE)*'PY_OPEB Amounts'!$E$323,0)</f>
        <v>668508</v>
      </c>
      <c r="F106" s="126">
        <f>INDEX('[2]Change in Proportion Layers'!$Z$8:$Z$321,MATCH('PY_OPEB Amounts'!A106,'[2]Change in Proportion Layers'!$A$8:$A$321,0))</f>
        <v>185916</v>
      </c>
      <c r="G106" s="126">
        <f t="shared" si="3"/>
        <v>903245</v>
      </c>
      <c r="H106" s="126"/>
      <c r="I106" s="126">
        <f>ROUND(VLOOKUP(A106,'[2]Contribution Allocation_Report'!$A$9:$D$310,4,FALSE)*'PY_OPEB Amounts'!$I$323,0)</f>
        <v>532509</v>
      </c>
      <c r="J106" s="126">
        <f>ROUND(VLOOKUP(A106,'[2]Contribution Allocation_Report'!$A$9:$D$310,4,FALSE)*'PY_OPEB Amounts'!$J$323,0)</f>
        <v>95711</v>
      </c>
      <c r="K106" s="126">
        <f>ROUND(VLOOKUP(A106,'[2]Contribution Allocation_Report'!$A$9:$D$310,4,FALSE)*'PY_OPEB Amounts'!$K$323,0)</f>
        <v>1207184</v>
      </c>
      <c r="L106" s="128">
        <f>INDEX('[2]Change in Proportion Layers'!$AA$8:$AA$321,MATCH('PY_OPEB Amounts'!A106,'[2]Change in Proportion Layers'!$A$8:$A$321,0))</f>
        <v>51541</v>
      </c>
      <c r="M106" s="126">
        <f t="shared" si="4"/>
        <v>1886945</v>
      </c>
      <c r="N106" s="127"/>
      <c r="O106" s="127">
        <f>ROUND(VLOOKUP(A106,'[2]Contribution Allocation_Report'!$A$9:$D$310,4,FALSE)*'PY_OPEB Amounts'!$O$323,0)</f>
        <v>-359587</v>
      </c>
      <c r="P106" s="127">
        <f>INDEX('[2]Change in Proportion Layers'!$X$8:$X$321,MATCH('PY_OPEB Amounts'!A106,'[2]Change in Proportion Layers'!$A$8:$A$321,0))</f>
        <v>29344</v>
      </c>
      <c r="Q106" s="127">
        <f t="shared" si="5"/>
        <v>-330243</v>
      </c>
    </row>
    <row r="107" spans="1:17" ht="12" customHeight="1">
      <c r="A107" s="166">
        <v>22201</v>
      </c>
      <c r="B107" s="167" t="s">
        <v>97</v>
      </c>
      <c r="C107" s="122">
        <f>ROUND(VLOOKUP(A107,'[2]Contribution Allocation_Report'!$A$9:$D$310,4,FALSE)*'PY_OPEB Amounts'!$C$323,0)</f>
        <v>1658665</v>
      </c>
      <c r="D107" s="122">
        <f>ROUND(VLOOKUP(A107,'[2]Contribution Allocation_Report'!$A$9:$D$310,4,FALSE)*'PY_OPEB Amounts'!$D$323,0)</f>
        <v>24252</v>
      </c>
      <c r="E107" s="122">
        <f>ROUND(VLOOKUP(A107,'[2]Contribution Allocation_Report'!$A$9:$D$310,4,FALSE)*'PY_OPEB Amounts'!$E$323,0)</f>
        <v>332080</v>
      </c>
      <c r="F107" s="122">
        <f>INDEX('[2]Change in Proportion Layers'!$Z$8:$Z$321,MATCH('PY_OPEB Amounts'!A107,'[2]Change in Proportion Layers'!$A$8:$A$321,0))</f>
        <v>367884</v>
      </c>
      <c r="G107" s="122">
        <f t="shared" si="3"/>
        <v>724216</v>
      </c>
      <c r="H107" s="122"/>
      <c r="I107" s="122">
        <f>ROUND(VLOOKUP(A107,'[2]Contribution Allocation_Report'!$A$9:$D$310,4,FALSE)*'PY_OPEB Amounts'!$I$323,0)</f>
        <v>264523</v>
      </c>
      <c r="J107" s="122">
        <f>ROUND(VLOOKUP(A107,'[2]Contribution Allocation_Report'!$A$9:$D$310,4,FALSE)*'PY_OPEB Amounts'!$J$323,0)</f>
        <v>47544</v>
      </c>
      <c r="K107" s="122">
        <f>ROUND(VLOOKUP(A107,'[2]Contribution Allocation_Report'!$A$9:$D$310,4,FALSE)*'PY_OPEB Amounts'!$K$323,0)</f>
        <v>599666</v>
      </c>
      <c r="L107" s="122">
        <f>INDEX('[2]Change in Proportion Layers'!$AA$8:$AA$321,MATCH('PY_OPEB Amounts'!A107,'[2]Change in Proportion Layers'!$A$8:$A$321,0))</f>
        <v>49609</v>
      </c>
      <c r="M107" s="122">
        <f t="shared" si="4"/>
        <v>961342</v>
      </c>
      <c r="N107" s="123"/>
      <c r="O107" s="123">
        <f>ROUND(VLOOKUP(A107,'[2]Contribution Allocation_Report'!$A$9:$D$310,4,FALSE)*'PY_OPEB Amounts'!$O$323,0)</f>
        <v>-178624</v>
      </c>
      <c r="P107" s="123">
        <f>INDEX('[2]Change in Proportion Layers'!$X$8:$X$321,MATCH('PY_OPEB Amounts'!A107,'[2]Change in Proportion Layers'!$A$8:$A$321,0))</f>
        <v>114819</v>
      </c>
      <c r="Q107" s="123">
        <f t="shared" si="5"/>
        <v>-63805</v>
      </c>
    </row>
    <row r="108" spans="1:17" ht="12" customHeight="1">
      <c r="A108" s="164">
        <v>6016</v>
      </c>
      <c r="B108" s="168" t="s">
        <v>98</v>
      </c>
      <c r="C108" s="120">
        <f>ROUND(VLOOKUP(A108,'[2]Contribution Allocation_Report'!$A$9:$D$310,4,FALSE)*'PY_OPEB Amounts'!$C$323,0)</f>
        <v>3366357</v>
      </c>
      <c r="D108" s="120">
        <f>ROUND(VLOOKUP(A108,'[2]Contribution Allocation_Report'!$A$9:$D$310,4,FALSE)*'PY_OPEB Amounts'!$D$323,0)</f>
        <v>49221</v>
      </c>
      <c r="E108" s="120">
        <f>ROUND(VLOOKUP(A108,'[2]Contribution Allocation_Report'!$A$9:$D$310,4,FALSE)*'PY_OPEB Amounts'!$E$323,0)</f>
        <v>673976</v>
      </c>
      <c r="F108" s="120">
        <f>INDEX('[2]Change in Proportion Layers'!$Z$8:$Z$321,MATCH('PY_OPEB Amounts'!A108,'[2]Change in Proportion Layers'!$A$8:$A$321,0))</f>
        <v>369286</v>
      </c>
      <c r="G108" s="120">
        <f t="shared" si="3"/>
        <v>1092483</v>
      </c>
      <c r="H108" s="120"/>
      <c r="I108" s="120">
        <f>ROUND(VLOOKUP(A108,'[2]Contribution Allocation_Report'!$A$9:$D$310,4,FALSE)*'PY_OPEB Amounts'!$I$323,0)</f>
        <v>536864</v>
      </c>
      <c r="J108" s="120">
        <f>ROUND(VLOOKUP(A108,'[2]Contribution Allocation_Report'!$A$9:$D$310,4,FALSE)*'PY_OPEB Amounts'!$J$323,0)</f>
        <v>96494</v>
      </c>
      <c r="K108" s="120">
        <f>ROUND(VLOOKUP(A108,'[2]Contribution Allocation_Report'!$A$9:$D$310,4,FALSE)*'PY_OPEB Amounts'!$K$323,0)</f>
        <v>1217057</v>
      </c>
      <c r="L108" s="120">
        <f>INDEX('[2]Change in Proportion Layers'!$AA$8:$AA$321,MATCH('PY_OPEB Amounts'!A108,'[2]Change in Proportion Layers'!$A$8:$A$321,0))</f>
        <v>210838</v>
      </c>
      <c r="M108" s="120">
        <f t="shared" si="4"/>
        <v>2061253</v>
      </c>
      <c r="N108" s="121"/>
      <c r="O108" s="121">
        <f>ROUND(VLOOKUP(A108,'[2]Contribution Allocation_Report'!$A$9:$D$310,4,FALSE)*'PY_OPEB Amounts'!$O$323,0)</f>
        <v>-362528</v>
      </c>
      <c r="P108" s="121">
        <f>INDEX('[2]Change in Proportion Layers'!$X$8:$X$321,MATCH('PY_OPEB Amounts'!A108,'[2]Change in Proportion Layers'!$A$8:$A$321,0))</f>
        <v>54228</v>
      </c>
      <c r="Q108" s="121">
        <f t="shared" si="5"/>
        <v>-308300</v>
      </c>
    </row>
    <row r="109" spans="1:17" ht="12" customHeight="1">
      <c r="A109" s="166">
        <v>2432</v>
      </c>
      <c r="B109" s="167" t="s">
        <v>99</v>
      </c>
      <c r="C109" s="122">
        <f>ROUND(VLOOKUP(A109,'[2]Contribution Allocation_Report'!$A$9:$D$310,4,FALSE)*'PY_OPEB Amounts'!$C$323,0)</f>
        <v>2399981</v>
      </c>
      <c r="D109" s="122">
        <f>ROUND(VLOOKUP(A109,'[2]Contribution Allocation_Report'!$A$9:$D$310,4,FALSE)*'PY_OPEB Amounts'!$D$323,0)</f>
        <v>35091</v>
      </c>
      <c r="E109" s="122">
        <f>ROUND(VLOOKUP(A109,'[2]Contribution Allocation_Report'!$A$9:$D$310,4,FALSE)*'PY_OPEB Amounts'!$E$323,0)</f>
        <v>480498</v>
      </c>
      <c r="F109" s="122">
        <f>INDEX('[2]Change in Proportion Layers'!$Z$8:$Z$321,MATCH('PY_OPEB Amounts'!A109,'[2]Change in Proportion Layers'!$A$8:$A$321,0))</f>
        <v>1367097</v>
      </c>
      <c r="G109" s="122">
        <f t="shared" si="3"/>
        <v>1882686</v>
      </c>
      <c r="H109" s="122"/>
      <c r="I109" s="122">
        <f>ROUND(VLOOKUP(A109,'[2]Contribution Allocation_Report'!$A$9:$D$310,4,FALSE)*'PY_OPEB Amounts'!$I$323,0)</f>
        <v>382747</v>
      </c>
      <c r="J109" s="122">
        <f>ROUND(VLOOKUP(A109,'[2]Contribution Allocation_Report'!$A$9:$D$310,4,FALSE)*'PY_OPEB Amounts'!$J$323,0)</f>
        <v>68793</v>
      </c>
      <c r="K109" s="122">
        <f>ROUND(VLOOKUP(A109,'[2]Contribution Allocation_Report'!$A$9:$D$310,4,FALSE)*'PY_OPEB Amounts'!$K$323,0)</f>
        <v>867678</v>
      </c>
      <c r="L109" s="122">
        <f>INDEX('[2]Change in Proportion Layers'!$AA$8:$AA$321,MATCH('PY_OPEB Amounts'!A109,'[2]Change in Proportion Layers'!$A$8:$A$321,0))</f>
        <v>0</v>
      </c>
      <c r="M109" s="122">
        <f t="shared" si="4"/>
        <v>1319218</v>
      </c>
      <c r="N109" s="123"/>
      <c r="O109" s="123">
        <f>ROUND(VLOOKUP(A109,'[2]Contribution Allocation_Report'!$A$9:$D$310,4,FALSE)*'PY_OPEB Amounts'!$O$323,0)</f>
        <v>-258458</v>
      </c>
      <c r="P109" s="123">
        <f>INDEX('[2]Change in Proportion Layers'!$X$8:$X$321,MATCH('PY_OPEB Amounts'!A109,'[2]Change in Proportion Layers'!$A$8:$A$321,0))</f>
        <v>355511</v>
      </c>
      <c r="Q109" s="123">
        <f t="shared" si="5"/>
        <v>97053</v>
      </c>
    </row>
    <row r="110" spans="1:17" ht="12" customHeight="1">
      <c r="A110" s="164">
        <v>16052</v>
      </c>
      <c r="B110" s="168" t="s">
        <v>100</v>
      </c>
      <c r="C110" s="120">
        <f>ROUND(VLOOKUP(A110,'[2]Contribution Allocation_Report'!$A$9:$D$310,4,FALSE)*'PY_OPEB Amounts'!$C$323,0)</f>
        <v>44347334</v>
      </c>
      <c r="D110" s="120">
        <f>ROUND(VLOOKUP(A110,'[2]Contribution Allocation_Report'!$A$9:$D$310,4,FALSE)*'PY_OPEB Amounts'!$D$323,0)</f>
        <v>648416</v>
      </c>
      <c r="E110" s="120">
        <f>ROUND(VLOOKUP(A110,'[2]Contribution Allocation_Report'!$A$9:$D$310,4,FALSE)*'PY_OPEB Amounts'!$E$323,0)</f>
        <v>8878747</v>
      </c>
      <c r="F110" s="120">
        <f>INDEX('[2]Change in Proportion Layers'!$Z$8:$Z$321,MATCH('PY_OPEB Amounts'!A110,'[2]Change in Proportion Layers'!$A$8:$A$321,0))</f>
        <v>4241520</v>
      </c>
      <c r="G110" s="120">
        <f t="shared" si="3"/>
        <v>13768683</v>
      </c>
      <c r="H110" s="120"/>
      <c r="I110" s="120">
        <f>ROUND(VLOOKUP(A110,'[2]Contribution Allocation_Report'!$A$9:$D$310,4,FALSE)*'PY_OPEB Amounts'!$I$323,0)</f>
        <v>7072478</v>
      </c>
      <c r="J110" s="120">
        <f>ROUND(VLOOKUP(A110,'[2]Contribution Allocation_Report'!$A$9:$D$310,4,FALSE)*'PY_OPEB Amounts'!$J$323,0)</f>
        <v>1271179</v>
      </c>
      <c r="K110" s="120">
        <f>ROUND(VLOOKUP(A110,'[2]Contribution Allocation_Report'!$A$9:$D$310,4,FALSE)*'PY_OPEB Amounts'!$K$323,0)</f>
        <v>16033134</v>
      </c>
      <c r="L110" s="120">
        <f>INDEX('[2]Change in Proportion Layers'!$AA$8:$AA$321,MATCH('PY_OPEB Amounts'!A110,'[2]Change in Proportion Layers'!$A$8:$A$321,0))</f>
        <v>1357045</v>
      </c>
      <c r="M110" s="120">
        <f t="shared" si="4"/>
        <v>25733836</v>
      </c>
      <c r="N110" s="121"/>
      <c r="O110" s="121">
        <f>ROUND(VLOOKUP(A110,'[2]Contribution Allocation_Report'!$A$9:$D$310,4,FALSE)*'PY_OPEB Amounts'!$O$323,0)</f>
        <v>-4775837</v>
      </c>
      <c r="P110" s="121">
        <f>INDEX('[2]Change in Proportion Layers'!$X$8:$X$321,MATCH('PY_OPEB Amounts'!A110,'[2]Change in Proportion Layers'!$A$8:$A$321,0))</f>
        <v>694231</v>
      </c>
      <c r="Q110" s="121">
        <f t="shared" si="5"/>
        <v>-4081606</v>
      </c>
    </row>
    <row r="111" spans="1:17" ht="12" customHeight="1">
      <c r="A111" s="166">
        <v>11118</v>
      </c>
      <c r="B111" s="167" t="s">
        <v>101</v>
      </c>
      <c r="C111" s="122">
        <f>ROUND(VLOOKUP(A111,'[2]Contribution Allocation_Report'!$A$9:$D$310,4,FALSE)*'PY_OPEB Amounts'!$C$323,0)</f>
        <v>1152939</v>
      </c>
      <c r="D111" s="122">
        <f>ROUND(VLOOKUP(A111,'[2]Contribution Allocation_Report'!$A$9:$D$310,4,FALSE)*'PY_OPEB Amounts'!$D$323,0)</f>
        <v>16857</v>
      </c>
      <c r="E111" s="122">
        <f>ROUND(VLOOKUP(A111,'[2]Contribution Allocation_Report'!$A$9:$D$310,4,FALSE)*'PY_OPEB Amounts'!$E$323,0)</f>
        <v>230829</v>
      </c>
      <c r="F111" s="122">
        <f>INDEX('[2]Change in Proportion Layers'!$Z$8:$Z$321,MATCH('PY_OPEB Amounts'!A111,'[2]Change in Proportion Layers'!$A$8:$A$321,0))</f>
        <v>28399</v>
      </c>
      <c r="G111" s="122">
        <f t="shared" si="3"/>
        <v>276085</v>
      </c>
      <c r="H111" s="122"/>
      <c r="I111" s="122">
        <f>ROUND(VLOOKUP(A111,'[2]Contribution Allocation_Report'!$A$9:$D$310,4,FALSE)*'PY_OPEB Amounts'!$I$323,0)</f>
        <v>183870</v>
      </c>
      <c r="J111" s="122">
        <f>ROUND(VLOOKUP(A111,'[2]Contribution Allocation_Report'!$A$9:$D$310,4,FALSE)*'PY_OPEB Amounts'!$J$323,0)</f>
        <v>33048</v>
      </c>
      <c r="K111" s="122">
        <f>ROUND(VLOOKUP(A111,'[2]Contribution Allocation_Report'!$A$9:$D$310,4,FALSE)*'PY_OPEB Amounts'!$K$323,0)</f>
        <v>416828</v>
      </c>
      <c r="L111" s="122">
        <f>INDEX('[2]Change in Proportion Layers'!$AA$8:$AA$321,MATCH('PY_OPEB Amounts'!A111,'[2]Change in Proportion Layers'!$A$8:$A$321,0))</f>
        <v>222873</v>
      </c>
      <c r="M111" s="122">
        <f t="shared" si="4"/>
        <v>856619</v>
      </c>
      <c r="N111" s="123"/>
      <c r="O111" s="123">
        <f>ROUND(VLOOKUP(A111,'[2]Contribution Allocation_Report'!$A$9:$D$310,4,FALSE)*'PY_OPEB Amounts'!$O$323,0)</f>
        <v>-124162</v>
      </c>
      <c r="P111" s="123">
        <f>INDEX('[2]Change in Proportion Layers'!$X$8:$X$321,MATCH('PY_OPEB Amounts'!A111,'[2]Change in Proportion Layers'!$A$8:$A$321,0))</f>
        <v>-36029</v>
      </c>
      <c r="Q111" s="123">
        <f t="shared" si="5"/>
        <v>-160191</v>
      </c>
    </row>
    <row r="112" spans="1:17" ht="12" customHeight="1">
      <c r="A112" s="164">
        <v>27083</v>
      </c>
      <c r="B112" s="168" t="s">
        <v>102</v>
      </c>
      <c r="C112" s="120">
        <f>ROUND(VLOOKUP(A112,'[2]Contribution Allocation_Report'!$A$9:$D$310,4,FALSE)*'PY_OPEB Amounts'!$C$323,0)</f>
        <v>1807389</v>
      </c>
      <c r="D112" s="120">
        <f>ROUND(VLOOKUP(A112,'[2]Contribution Allocation_Report'!$A$9:$D$310,4,FALSE)*'PY_OPEB Amounts'!$D$323,0)</f>
        <v>26426</v>
      </c>
      <c r="E112" s="120">
        <f>ROUND(VLOOKUP(A112,'[2]Contribution Allocation_Report'!$A$9:$D$310,4,FALSE)*'PY_OPEB Amounts'!$E$323,0)</f>
        <v>361856</v>
      </c>
      <c r="F112" s="130">
        <f>INDEX('[2]Change in Proportion Layers'!$Z$8:$Z$321,MATCH('PY_OPEB Amounts'!A112,'[2]Change in Proportion Layers'!$A$8:$A$321,0))</f>
        <v>122350</v>
      </c>
      <c r="G112" s="120">
        <f t="shared" si="3"/>
        <v>510632</v>
      </c>
      <c r="H112" s="120"/>
      <c r="I112" s="120">
        <f>ROUND(VLOOKUP(A112,'[2]Contribution Allocation_Report'!$A$9:$D$310,4,FALSE)*'PY_OPEB Amounts'!$I$323,0)</f>
        <v>288241</v>
      </c>
      <c r="J112" s="120">
        <f>ROUND(VLOOKUP(A112,'[2]Contribution Allocation_Report'!$A$9:$D$310,4,FALSE)*'PY_OPEB Amounts'!$J$323,0)</f>
        <v>51807</v>
      </c>
      <c r="K112" s="120">
        <f>ROUND(VLOOKUP(A112,'[2]Contribution Allocation_Report'!$A$9:$D$310,4,FALSE)*'PY_OPEB Amounts'!$K$323,0)</f>
        <v>653435</v>
      </c>
      <c r="L112" s="120">
        <f>INDEX('[2]Change in Proportion Layers'!$AA$8:$AA$321,MATCH('PY_OPEB Amounts'!A112,'[2]Change in Proportion Layers'!$A$8:$A$321,0))</f>
        <v>70014</v>
      </c>
      <c r="M112" s="120">
        <f t="shared" si="4"/>
        <v>1063497</v>
      </c>
      <c r="N112" s="121"/>
      <c r="O112" s="121">
        <f>ROUND(VLOOKUP(A112,'[2]Contribution Allocation_Report'!$A$9:$D$310,4,FALSE)*'PY_OPEB Amounts'!$O$323,0)</f>
        <v>-194641</v>
      </c>
      <c r="P112" s="121">
        <f>INDEX('[2]Change in Proportion Layers'!$X$8:$X$321,MATCH('PY_OPEB Amounts'!A112,'[2]Change in Proportion Layers'!$A$8:$A$321,0))</f>
        <v>14159</v>
      </c>
      <c r="Q112" s="121">
        <f t="shared" si="5"/>
        <v>-180482</v>
      </c>
    </row>
    <row r="113" spans="1:17" ht="12" customHeight="1">
      <c r="A113" s="166">
        <v>7021</v>
      </c>
      <c r="B113" s="167" t="s">
        <v>103</v>
      </c>
      <c r="C113" s="122">
        <f>ROUND(VLOOKUP(A113,'[2]Contribution Allocation_Report'!$A$9:$D$310,4,FALSE)*'PY_OPEB Amounts'!$C$323,0)</f>
        <v>60244330</v>
      </c>
      <c r="D113" s="122">
        <f>ROUND(VLOOKUP(A113,'[2]Contribution Allocation_Report'!$A$9:$D$310,4,FALSE)*'PY_OPEB Amounts'!$D$323,0)</f>
        <v>880852</v>
      </c>
      <c r="E113" s="122">
        <f>ROUND(VLOOKUP(A113,'[2]Contribution Allocation_Report'!$A$9:$D$310,4,FALSE)*'PY_OPEB Amounts'!$E$323,0)</f>
        <v>12061473</v>
      </c>
      <c r="F113" s="122">
        <f>INDEX('[2]Change in Proportion Layers'!$Z$8:$Z$321,MATCH('PY_OPEB Amounts'!A113,'[2]Change in Proportion Layers'!$A$8:$A$321,0))</f>
        <v>3949999</v>
      </c>
      <c r="G113" s="122">
        <f t="shared" si="3"/>
        <v>16892324</v>
      </c>
      <c r="H113" s="122"/>
      <c r="I113" s="122">
        <f>ROUND(VLOOKUP(A113,'[2]Contribution Allocation_Report'!$A$9:$D$310,4,FALSE)*'PY_OPEB Amounts'!$I$323,0)</f>
        <v>9607718</v>
      </c>
      <c r="J113" s="122">
        <f>ROUND(VLOOKUP(A113,'[2]Contribution Allocation_Report'!$A$9:$D$310,4,FALSE)*'PY_OPEB Amounts'!$J$323,0)</f>
        <v>1726853</v>
      </c>
      <c r="K113" s="122">
        <f>ROUND(VLOOKUP(A113,'[2]Contribution Allocation_Report'!$A$9:$D$310,4,FALSE)*'PY_OPEB Amounts'!$K$323,0)</f>
        <v>21780461</v>
      </c>
      <c r="L113" s="131">
        <f>INDEX('[2]Change in Proportion Layers'!$AA$8:$AA$321,MATCH('PY_OPEB Amounts'!A113,'[2]Change in Proportion Layers'!$A$8:$A$321,0))</f>
        <v>1233364</v>
      </c>
      <c r="M113" s="122">
        <f t="shared" si="4"/>
        <v>34348396</v>
      </c>
      <c r="N113" s="123"/>
      <c r="O113" s="123">
        <f>ROUND(VLOOKUP(A113,'[2]Contribution Allocation_Report'!$A$9:$D$310,4,FALSE)*'PY_OPEB Amounts'!$O$323,0)</f>
        <v>-6487810</v>
      </c>
      <c r="P113" s="123">
        <f>INDEX('[2]Change in Proportion Layers'!$X$8:$X$321,MATCH('PY_OPEB Amounts'!A113,'[2]Change in Proportion Layers'!$A$8:$A$321,0))</f>
        <v>235613</v>
      </c>
      <c r="Q113" s="123">
        <f t="shared" si="5"/>
        <v>-6252197</v>
      </c>
    </row>
    <row r="114" spans="1:17" ht="12" customHeight="1">
      <c r="A114" s="164">
        <v>4140</v>
      </c>
      <c r="B114" s="168" t="s">
        <v>104</v>
      </c>
      <c r="C114" s="120">
        <f>ROUND(VLOOKUP(A114,'[2]Contribution Allocation_Report'!$A$9:$D$310,4,FALSE)*'PY_OPEB Amounts'!$C$323,0)</f>
        <v>392539</v>
      </c>
      <c r="D114" s="120">
        <f>ROUND(VLOOKUP(A114,'[2]Contribution Allocation_Report'!$A$9:$D$310,4,FALSE)*'PY_OPEB Amounts'!$D$323,0)</f>
        <v>5739</v>
      </c>
      <c r="E114" s="120">
        <f>ROUND(VLOOKUP(A114,'[2]Contribution Allocation_Report'!$A$9:$D$310,4,FALSE)*'PY_OPEB Amounts'!$E$323,0)</f>
        <v>78590</v>
      </c>
      <c r="F114" s="130">
        <f>INDEX('[2]Change in Proportion Layers'!$Z$8:$Z$321,MATCH('PY_OPEB Amounts'!A114,'[2]Change in Proportion Layers'!$A$8:$A$321,0))</f>
        <v>46414</v>
      </c>
      <c r="G114" s="120">
        <f t="shared" si="3"/>
        <v>130743</v>
      </c>
      <c r="H114" s="120"/>
      <c r="I114" s="120">
        <f>ROUND(VLOOKUP(A114,'[2]Contribution Allocation_Report'!$A$9:$D$310,4,FALSE)*'PY_OPEB Amounts'!$I$323,0)</f>
        <v>62602</v>
      </c>
      <c r="J114" s="120">
        <f>ROUND(VLOOKUP(A114,'[2]Contribution Allocation_Report'!$A$9:$D$310,4,FALSE)*'PY_OPEB Amounts'!$J$323,0)</f>
        <v>11252</v>
      </c>
      <c r="K114" s="120">
        <f>ROUND(VLOOKUP(A114,'[2]Contribution Allocation_Report'!$A$9:$D$310,4,FALSE)*'PY_OPEB Amounts'!$K$323,0)</f>
        <v>141917</v>
      </c>
      <c r="L114" s="120">
        <f>INDEX('[2]Change in Proportion Layers'!$AA$8:$AA$321,MATCH('PY_OPEB Amounts'!A114,'[2]Change in Proportion Layers'!$A$8:$A$321,0))</f>
        <v>16060</v>
      </c>
      <c r="M114" s="120">
        <f t="shared" si="4"/>
        <v>231831</v>
      </c>
      <c r="N114" s="121"/>
      <c r="O114" s="121">
        <f>ROUND(VLOOKUP(A114,'[2]Contribution Allocation_Report'!$A$9:$D$310,4,FALSE)*'PY_OPEB Amounts'!$O$323,0)</f>
        <v>-42273</v>
      </c>
      <c r="P114" s="121">
        <f>INDEX('[2]Change in Proportion Layers'!$X$8:$X$321,MATCH('PY_OPEB Amounts'!A114,'[2]Change in Proportion Layers'!$A$8:$A$321,0))</f>
        <v>1105</v>
      </c>
      <c r="Q114" s="121">
        <f t="shared" si="5"/>
        <v>-41168</v>
      </c>
    </row>
    <row r="115" spans="1:17" ht="12" customHeight="1">
      <c r="A115" s="166">
        <v>13041</v>
      </c>
      <c r="B115" s="167" t="s">
        <v>105</v>
      </c>
      <c r="C115" s="122">
        <f>ROUND(VLOOKUP(A115,'[2]Contribution Allocation_Report'!$A$9:$D$310,4,FALSE)*'PY_OPEB Amounts'!$C$323,0)</f>
        <v>53414880</v>
      </c>
      <c r="D115" s="122">
        <f>ROUND(VLOOKUP(A115,'[2]Contribution Allocation_Report'!$A$9:$D$310,4,FALSE)*'PY_OPEB Amounts'!$D$323,0)</f>
        <v>780996</v>
      </c>
      <c r="E115" s="122">
        <f>ROUND(VLOOKUP(A115,'[2]Contribution Allocation_Report'!$A$9:$D$310,4,FALSE)*'PY_OPEB Amounts'!$E$323,0)</f>
        <v>10694154</v>
      </c>
      <c r="F115" s="122">
        <f>INDEX('[2]Change in Proportion Layers'!$Z$8:$Z$321,MATCH('PY_OPEB Amounts'!A115,'[2]Change in Proportion Layers'!$A$8:$A$321,0))</f>
        <v>1606587</v>
      </c>
      <c r="G115" s="122">
        <f t="shared" si="3"/>
        <v>13081737</v>
      </c>
      <c r="H115" s="122"/>
      <c r="I115" s="122">
        <f>ROUND(VLOOKUP(A115,'[2]Contribution Allocation_Report'!$A$9:$D$310,4,FALSE)*'PY_OPEB Amounts'!$I$323,0)</f>
        <v>8518562</v>
      </c>
      <c r="J115" s="122">
        <f>ROUND(VLOOKUP(A115,'[2]Contribution Allocation_Report'!$A$9:$D$310,4,FALSE)*'PY_OPEB Amounts'!$J$323,0)</f>
        <v>1531092</v>
      </c>
      <c r="K115" s="122">
        <f>ROUND(VLOOKUP(A115,'[2]Contribution Allocation_Report'!$A$9:$D$310,4,FALSE)*'PY_OPEB Amounts'!$K$323,0)</f>
        <v>19311373</v>
      </c>
      <c r="L115" s="122">
        <f>INDEX('[2]Change in Proportion Layers'!$AA$8:$AA$321,MATCH('PY_OPEB Amounts'!A115,'[2]Change in Proportion Layers'!$A$8:$A$321,0))</f>
        <v>3380350</v>
      </c>
      <c r="M115" s="122">
        <f t="shared" si="4"/>
        <v>32741377</v>
      </c>
      <c r="N115" s="123"/>
      <c r="O115" s="123">
        <f>ROUND(VLOOKUP(A115,'[2]Contribution Allocation_Report'!$A$9:$D$310,4,FALSE)*'PY_OPEB Amounts'!$O$323,0)</f>
        <v>-5752336</v>
      </c>
      <c r="P115" s="123">
        <f>INDEX('[2]Change in Proportion Layers'!$X$8:$X$321,MATCH('PY_OPEB Amounts'!A115,'[2]Change in Proportion Layers'!$A$8:$A$321,0))</f>
        <v>27053</v>
      </c>
      <c r="Q115" s="123">
        <f t="shared" si="5"/>
        <v>-5725283</v>
      </c>
    </row>
    <row r="116" spans="1:17" ht="12" customHeight="1">
      <c r="A116" s="164">
        <v>2339</v>
      </c>
      <c r="B116" s="168" t="s">
        <v>106</v>
      </c>
      <c r="C116" s="120">
        <f>ROUND(VLOOKUP(A116,'[2]Contribution Allocation_Report'!$A$9:$D$310,4,FALSE)*'PY_OPEB Amounts'!$C$323,0)</f>
        <v>786723</v>
      </c>
      <c r="D116" s="120">
        <f>ROUND(VLOOKUP(A116,'[2]Contribution Allocation_Report'!$A$9:$D$310,4,FALSE)*'PY_OPEB Amounts'!$D$323,0)</f>
        <v>11503</v>
      </c>
      <c r="E116" s="120">
        <f>ROUND(VLOOKUP(A116,'[2]Contribution Allocation_Report'!$A$9:$D$310,4,FALSE)*'PY_OPEB Amounts'!$E$323,0)</f>
        <v>157509</v>
      </c>
      <c r="F116" s="120">
        <f>INDEX('[2]Change in Proportion Layers'!$Z$8:$Z$321,MATCH('PY_OPEB Amounts'!A116,'[2]Change in Proportion Layers'!$A$8:$A$321,0))</f>
        <v>38719</v>
      </c>
      <c r="G116" s="120">
        <f t="shared" si="3"/>
        <v>207731</v>
      </c>
      <c r="H116" s="120"/>
      <c r="I116" s="120">
        <f>ROUND(VLOOKUP(A116,'[2]Contribution Allocation_Report'!$A$9:$D$310,4,FALSE)*'PY_OPEB Amounts'!$I$323,0)</f>
        <v>125466</v>
      </c>
      <c r="J116" s="120">
        <f>ROUND(VLOOKUP(A116,'[2]Contribution Allocation_Report'!$A$9:$D$310,4,FALSE)*'PY_OPEB Amounts'!$J$323,0)</f>
        <v>22551</v>
      </c>
      <c r="K116" s="120">
        <f>ROUND(VLOOKUP(A116,'[2]Contribution Allocation_Report'!$A$9:$D$310,4,FALSE)*'PY_OPEB Amounts'!$K$323,0)</f>
        <v>284428</v>
      </c>
      <c r="L116" s="120">
        <f>INDEX('[2]Change in Proportion Layers'!$AA$8:$AA$321,MATCH('PY_OPEB Amounts'!A116,'[2]Change in Proportion Layers'!$A$8:$A$321,0))</f>
        <v>82272</v>
      </c>
      <c r="M116" s="120">
        <f t="shared" si="4"/>
        <v>514717</v>
      </c>
      <c r="N116" s="121"/>
      <c r="O116" s="121">
        <f>ROUND(VLOOKUP(A116,'[2]Contribution Allocation_Report'!$A$9:$D$310,4,FALSE)*'PY_OPEB Amounts'!$O$323,0)</f>
        <v>-84723</v>
      </c>
      <c r="P116" s="121">
        <f>INDEX('[2]Change in Proportion Layers'!$X$8:$X$321,MATCH('PY_OPEB Amounts'!A116,'[2]Change in Proportion Layers'!$A$8:$A$321,0))</f>
        <v>-29133</v>
      </c>
      <c r="Q116" s="121">
        <f t="shared" si="5"/>
        <v>-113856</v>
      </c>
    </row>
    <row r="117" spans="1:17" ht="12" customHeight="1">
      <c r="A117" s="166">
        <v>2362</v>
      </c>
      <c r="B117" s="167" t="s">
        <v>107</v>
      </c>
      <c r="C117" s="122">
        <f>ROUND(VLOOKUP(A117,'[2]Contribution Allocation_Report'!$A$9:$D$310,4,FALSE)*'PY_OPEB Amounts'!$C$323,0)</f>
        <v>1006518</v>
      </c>
      <c r="D117" s="122">
        <f>ROUND(VLOOKUP(A117,'[2]Contribution Allocation_Report'!$A$9:$D$310,4,FALSE)*'PY_OPEB Amounts'!$D$323,0)</f>
        <v>14717</v>
      </c>
      <c r="E117" s="122">
        <f>ROUND(VLOOKUP(A117,'[2]Contribution Allocation_Report'!$A$9:$D$310,4,FALSE)*'PY_OPEB Amounts'!$E$323,0)</f>
        <v>201514</v>
      </c>
      <c r="F117" s="122">
        <f>INDEX('[2]Change in Proportion Layers'!$Z$8:$Z$321,MATCH('PY_OPEB Amounts'!A117,'[2]Change in Proportion Layers'!$A$8:$A$321,0))</f>
        <v>108077</v>
      </c>
      <c r="G117" s="122">
        <f t="shared" si="3"/>
        <v>324308</v>
      </c>
      <c r="H117" s="122"/>
      <c r="I117" s="122">
        <f>ROUND(VLOOKUP(A117,'[2]Contribution Allocation_Report'!$A$9:$D$310,4,FALSE)*'PY_OPEB Amounts'!$I$323,0)</f>
        <v>160519</v>
      </c>
      <c r="J117" s="122">
        <f>ROUND(VLOOKUP(A117,'[2]Contribution Allocation_Report'!$A$9:$D$310,4,FALSE)*'PY_OPEB Amounts'!$J$323,0)</f>
        <v>28851</v>
      </c>
      <c r="K117" s="122">
        <f>ROUND(VLOOKUP(A117,'[2]Contribution Allocation_Report'!$A$9:$D$310,4,FALSE)*'PY_OPEB Amounts'!$K$323,0)</f>
        <v>363892</v>
      </c>
      <c r="L117" s="122">
        <f>INDEX('[2]Change in Proportion Layers'!$AA$8:$AA$321,MATCH('PY_OPEB Amounts'!A117,'[2]Change in Proportion Layers'!$A$8:$A$321,0))</f>
        <v>563312</v>
      </c>
      <c r="M117" s="122">
        <f t="shared" si="4"/>
        <v>1116574</v>
      </c>
      <c r="N117" s="123"/>
      <c r="O117" s="123">
        <f>ROUND(VLOOKUP(A117,'[2]Contribution Allocation_Report'!$A$9:$D$310,4,FALSE)*'PY_OPEB Amounts'!$O$323,0)</f>
        <v>-108394</v>
      </c>
      <c r="P117" s="123">
        <f>INDEX('[2]Change in Proportion Layers'!$X$8:$X$321,MATCH('PY_OPEB Amounts'!A117,'[2]Change in Proportion Layers'!$A$8:$A$321,0))</f>
        <v>-57448</v>
      </c>
      <c r="Q117" s="123">
        <f t="shared" si="5"/>
        <v>-165842</v>
      </c>
    </row>
    <row r="118" spans="1:17" ht="12" customHeight="1">
      <c r="A118" s="164">
        <v>5013</v>
      </c>
      <c r="B118" s="168" t="s">
        <v>108</v>
      </c>
      <c r="C118" s="120">
        <f>ROUND(VLOOKUP(A118,'[2]Contribution Allocation_Report'!$A$9:$D$310,4,FALSE)*'PY_OPEB Amounts'!$C$323,0)</f>
        <v>964731</v>
      </c>
      <c r="D118" s="120">
        <f>ROUND(VLOOKUP(A118,'[2]Contribution Allocation_Report'!$A$9:$D$310,4,FALSE)*'PY_OPEB Amounts'!$D$323,0)</f>
        <v>14106</v>
      </c>
      <c r="E118" s="120">
        <f>ROUND(VLOOKUP(A118,'[2]Contribution Allocation_Report'!$A$9:$D$310,4,FALSE)*'PY_OPEB Amounts'!$E$323,0)</f>
        <v>193148</v>
      </c>
      <c r="F118" s="120">
        <f>INDEX('[2]Change in Proportion Layers'!$Z$8:$Z$321,MATCH('PY_OPEB Amounts'!A118,'[2]Change in Proportion Layers'!$A$8:$A$321,0))</f>
        <v>47297</v>
      </c>
      <c r="G118" s="120">
        <f t="shared" si="3"/>
        <v>254551</v>
      </c>
      <c r="H118" s="120"/>
      <c r="I118" s="120">
        <f>ROUND(VLOOKUP(A118,'[2]Contribution Allocation_Report'!$A$9:$D$310,4,FALSE)*'PY_OPEB Amounts'!$I$323,0)</f>
        <v>153854</v>
      </c>
      <c r="J118" s="120">
        <f>ROUND(VLOOKUP(A118,'[2]Contribution Allocation_Report'!$A$9:$D$310,4,FALSE)*'PY_OPEB Amounts'!$J$323,0)</f>
        <v>27653</v>
      </c>
      <c r="K118" s="120">
        <f>ROUND(VLOOKUP(A118,'[2]Contribution Allocation_Report'!$A$9:$D$310,4,FALSE)*'PY_OPEB Amounts'!$K$323,0)</f>
        <v>348784</v>
      </c>
      <c r="L118" s="130">
        <f>INDEX('[2]Change in Proportion Layers'!$AA$8:$AA$321,MATCH('PY_OPEB Amounts'!A118,'[2]Change in Proportion Layers'!$A$8:$A$321,0))</f>
        <v>6216</v>
      </c>
      <c r="M118" s="120">
        <f t="shared" si="4"/>
        <v>536507</v>
      </c>
      <c r="N118" s="121"/>
      <c r="O118" s="121">
        <f>ROUND(VLOOKUP(A118,'[2]Contribution Allocation_Report'!$A$9:$D$310,4,FALSE)*'PY_OPEB Amounts'!$O$323,0)</f>
        <v>-103893</v>
      </c>
      <c r="P118" s="121">
        <f>INDEX('[2]Change in Proportion Layers'!$X$8:$X$321,MATCH('PY_OPEB Amounts'!A118,'[2]Change in Proportion Layers'!$A$8:$A$321,0))</f>
        <v>7508</v>
      </c>
      <c r="Q118" s="121">
        <f t="shared" si="5"/>
        <v>-96385</v>
      </c>
    </row>
    <row r="119" spans="1:17" ht="12" customHeight="1">
      <c r="A119" s="166">
        <v>3110</v>
      </c>
      <c r="B119" s="167" t="s">
        <v>109</v>
      </c>
      <c r="C119" s="122">
        <f>ROUND(VLOOKUP(A119,'[2]Contribution Allocation_Report'!$A$9:$D$310,4,FALSE)*'PY_OPEB Amounts'!$C$323,0)</f>
        <v>4871034</v>
      </c>
      <c r="D119" s="122">
        <f>ROUND(VLOOKUP(A119,'[2]Contribution Allocation_Report'!$A$9:$D$310,4,FALSE)*'PY_OPEB Amounts'!$D$323,0)</f>
        <v>71221</v>
      </c>
      <c r="E119" s="122">
        <f>ROUND(VLOOKUP(A119,'[2]Contribution Allocation_Report'!$A$9:$D$310,4,FALSE)*'PY_OPEB Amounts'!$E$323,0)</f>
        <v>975226</v>
      </c>
      <c r="F119" s="122">
        <f>INDEX('[2]Change in Proportion Layers'!$Z$8:$Z$321,MATCH('PY_OPEB Amounts'!A119,'[2]Change in Proportion Layers'!$A$8:$A$321,0))</f>
        <v>17343</v>
      </c>
      <c r="G119" s="122">
        <f t="shared" si="3"/>
        <v>1063790</v>
      </c>
      <c r="H119" s="122"/>
      <c r="I119" s="122">
        <f>ROUND(VLOOKUP(A119,'[2]Contribution Allocation_Report'!$A$9:$D$310,4,FALSE)*'PY_OPEB Amounts'!$I$323,0)</f>
        <v>776829</v>
      </c>
      <c r="J119" s="122">
        <f>ROUND(VLOOKUP(A119,'[2]Contribution Allocation_Report'!$A$9:$D$310,4,FALSE)*'PY_OPEB Amounts'!$J$323,0)</f>
        <v>139624</v>
      </c>
      <c r="K119" s="122">
        <f>ROUND(VLOOKUP(A119,'[2]Contribution Allocation_Report'!$A$9:$D$310,4,FALSE)*'PY_OPEB Amounts'!$K$323,0)</f>
        <v>1761051</v>
      </c>
      <c r="L119" s="122">
        <f>INDEX('[2]Change in Proportion Layers'!$AA$8:$AA$321,MATCH('PY_OPEB Amounts'!A119,'[2]Change in Proportion Layers'!$A$8:$A$321,0))</f>
        <v>484672</v>
      </c>
      <c r="M119" s="122">
        <f t="shared" si="4"/>
        <v>3162176</v>
      </c>
      <c r="N119" s="123"/>
      <c r="O119" s="123">
        <f>ROUND(VLOOKUP(A119,'[2]Contribution Allocation_Report'!$A$9:$D$310,4,FALSE)*'PY_OPEB Amounts'!$O$323,0)</f>
        <v>-524570</v>
      </c>
      <c r="P119" s="123">
        <f>INDEX('[2]Change in Proportion Layers'!$X$8:$X$321,MATCH('PY_OPEB Amounts'!A119,'[2]Change in Proportion Layers'!$A$8:$A$321,0))</f>
        <v>-169805</v>
      </c>
      <c r="Q119" s="123">
        <f t="shared" si="5"/>
        <v>-694375</v>
      </c>
    </row>
    <row r="120" spans="1:17" ht="12" customHeight="1">
      <c r="A120" s="164">
        <v>14044</v>
      </c>
      <c r="B120" s="168" t="s">
        <v>110</v>
      </c>
      <c r="C120" s="120">
        <f>ROUND(VLOOKUP(A120,'[2]Contribution Allocation_Report'!$A$9:$D$310,4,FALSE)*'PY_OPEB Amounts'!$C$323,0)</f>
        <v>15514657</v>
      </c>
      <c r="D120" s="120">
        <f>ROUND(VLOOKUP(A120,'[2]Contribution Allocation_Report'!$A$9:$D$310,4,FALSE)*'PY_OPEB Amounts'!$D$323,0)</f>
        <v>226845</v>
      </c>
      <c r="E120" s="120">
        <f>ROUND(VLOOKUP(A120,'[2]Contribution Allocation_Report'!$A$9:$D$310,4,FALSE)*'PY_OPEB Amounts'!$E$323,0)</f>
        <v>3106178</v>
      </c>
      <c r="F120" s="120">
        <f>INDEX('[2]Change in Proportion Layers'!$Z$8:$Z$321,MATCH('PY_OPEB Amounts'!A120,'[2]Change in Proportion Layers'!$A$8:$A$321,0))</f>
        <v>655493</v>
      </c>
      <c r="G120" s="120">
        <f t="shared" si="3"/>
        <v>3988516</v>
      </c>
      <c r="H120" s="120"/>
      <c r="I120" s="120">
        <f>ROUND(VLOOKUP(A120,'[2]Contribution Allocation_Report'!$A$9:$D$310,4,FALSE)*'PY_OPEB Amounts'!$I$323,0)</f>
        <v>2474265</v>
      </c>
      <c r="J120" s="120">
        <f>ROUND(VLOOKUP(A120,'[2]Contribution Allocation_Report'!$A$9:$D$310,4,FALSE)*'PY_OPEB Amounts'!$J$323,0)</f>
        <v>444715</v>
      </c>
      <c r="K120" s="120">
        <f>ROUND(VLOOKUP(A120,'[2]Contribution Allocation_Report'!$A$9:$D$310,4,FALSE)*'PY_OPEB Amounts'!$K$323,0)</f>
        <v>5609099</v>
      </c>
      <c r="L120" s="120">
        <f>INDEX('[2]Change in Proportion Layers'!$AA$8:$AA$321,MATCH('PY_OPEB Amounts'!A120,'[2]Change in Proportion Layers'!$A$8:$A$321,0))</f>
        <v>653487</v>
      </c>
      <c r="M120" s="120">
        <f t="shared" si="4"/>
        <v>9181566</v>
      </c>
      <c r="N120" s="121"/>
      <c r="O120" s="121">
        <f>ROUND(VLOOKUP(A120,'[2]Contribution Allocation_Report'!$A$9:$D$310,4,FALSE)*'PY_OPEB Amounts'!$O$323,0)</f>
        <v>-1670799</v>
      </c>
      <c r="P120" s="121">
        <f>INDEX('[2]Change in Proportion Layers'!$X$8:$X$321,MATCH('PY_OPEB Amounts'!A120,'[2]Change in Proportion Layers'!$A$8:$A$321,0))</f>
        <v>-51878</v>
      </c>
      <c r="Q120" s="121">
        <f t="shared" si="5"/>
        <v>-1722677</v>
      </c>
    </row>
    <row r="121" spans="1:17" ht="12" customHeight="1">
      <c r="A121" s="166">
        <v>4009</v>
      </c>
      <c r="B121" s="167" t="s">
        <v>111</v>
      </c>
      <c r="C121" s="122">
        <f>ROUND(VLOOKUP(A121,'[2]Contribution Allocation_Report'!$A$9:$D$310,4,FALSE)*'PY_OPEB Amounts'!$C$323,0)</f>
        <v>2075882</v>
      </c>
      <c r="D121" s="122">
        <f>ROUND(VLOOKUP(A121,'[2]Contribution Allocation_Report'!$A$9:$D$310,4,FALSE)*'PY_OPEB Amounts'!$D$323,0)</f>
        <v>30352</v>
      </c>
      <c r="E121" s="122">
        <f>ROUND(VLOOKUP(A121,'[2]Contribution Allocation_Report'!$A$9:$D$310,4,FALSE)*'PY_OPEB Amounts'!$E$323,0)</f>
        <v>415611</v>
      </c>
      <c r="F121" s="122">
        <f>INDEX('[2]Change in Proportion Layers'!$Z$8:$Z$321,MATCH('PY_OPEB Amounts'!A121,'[2]Change in Proportion Layers'!$A$8:$A$321,0))</f>
        <v>28439</v>
      </c>
      <c r="G121" s="122">
        <f t="shared" si="3"/>
        <v>474402</v>
      </c>
      <c r="H121" s="122"/>
      <c r="I121" s="122">
        <f>ROUND(VLOOKUP(A121,'[2]Contribution Allocation_Report'!$A$9:$D$310,4,FALSE)*'PY_OPEB Amounts'!$I$323,0)</f>
        <v>331060</v>
      </c>
      <c r="J121" s="122">
        <f>ROUND(VLOOKUP(A121,'[2]Contribution Allocation_Report'!$A$9:$D$310,4,FALSE)*'PY_OPEB Amounts'!$J$323,0)</f>
        <v>59503</v>
      </c>
      <c r="K121" s="122">
        <f>ROUND(VLOOKUP(A121,'[2]Contribution Allocation_Report'!$A$9:$D$310,4,FALSE)*'PY_OPEB Amounts'!$K$323,0)</f>
        <v>750505</v>
      </c>
      <c r="L121" s="122">
        <f>INDEX('[2]Change in Proportion Layers'!$AA$8:$AA$321,MATCH('PY_OPEB Amounts'!A121,'[2]Change in Proportion Layers'!$A$8:$A$321,0))</f>
        <v>284567</v>
      </c>
      <c r="M121" s="122">
        <f t="shared" si="4"/>
        <v>1425635</v>
      </c>
      <c r="N121" s="123"/>
      <c r="O121" s="123">
        <f>ROUND(VLOOKUP(A121,'[2]Contribution Allocation_Report'!$A$9:$D$310,4,FALSE)*'PY_OPEB Amounts'!$O$323,0)</f>
        <v>-223555</v>
      </c>
      <c r="P121" s="123">
        <f>INDEX('[2]Change in Proportion Layers'!$X$8:$X$321,MATCH('PY_OPEB Amounts'!A121,'[2]Change in Proportion Layers'!$A$8:$A$321,0))</f>
        <v>-64176</v>
      </c>
      <c r="Q121" s="123">
        <f t="shared" si="5"/>
        <v>-287731</v>
      </c>
    </row>
    <row r="122" spans="1:17" ht="12" customHeight="1">
      <c r="A122" s="164">
        <v>7022</v>
      </c>
      <c r="B122" s="168" t="s">
        <v>112</v>
      </c>
      <c r="C122" s="120">
        <f>ROUND(VLOOKUP(A122,'[2]Contribution Allocation_Report'!$A$9:$D$310,4,FALSE)*'PY_OPEB Amounts'!$C$323,0)</f>
        <v>5490278</v>
      </c>
      <c r="D122" s="120">
        <f>ROUND(VLOOKUP(A122,'[2]Contribution Allocation_Report'!$A$9:$D$310,4,FALSE)*'PY_OPEB Amounts'!$D$323,0)</f>
        <v>80275</v>
      </c>
      <c r="E122" s="120">
        <f>ROUND(VLOOKUP(A122,'[2]Contribution Allocation_Report'!$A$9:$D$310,4,FALSE)*'PY_OPEB Amounts'!$E$323,0)</f>
        <v>1099204</v>
      </c>
      <c r="F122" s="120">
        <f>INDEX('[2]Change in Proportion Layers'!$Z$8:$Z$321,MATCH('PY_OPEB Amounts'!A122,'[2]Change in Proportion Layers'!$A$8:$A$321,0))</f>
        <v>222621</v>
      </c>
      <c r="G122" s="120">
        <f t="shared" si="3"/>
        <v>1402100</v>
      </c>
      <c r="H122" s="120"/>
      <c r="I122" s="120">
        <f>ROUND(VLOOKUP(A122,'[2]Contribution Allocation_Report'!$A$9:$D$310,4,FALSE)*'PY_OPEB Amounts'!$I$323,0)</f>
        <v>875585</v>
      </c>
      <c r="J122" s="120">
        <f>ROUND(VLOOKUP(A122,'[2]Contribution Allocation_Report'!$A$9:$D$310,4,FALSE)*'PY_OPEB Amounts'!$J$323,0)</f>
        <v>157374</v>
      </c>
      <c r="K122" s="120">
        <f>ROUND(VLOOKUP(A122,'[2]Contribution Allocation_Report'!$A$9:$D$310,4,FALSE)*'PY_OPEB Amounts'!$K$323,0)</f>
        <v>1984930</v>
      </c>
      <c r="L122" s="130">
        <f>INDEX('[2]Change in Proportion Layers'!$AA$8:$AA$321,MATCH('PY_OPEB Amounts'!A122,'[2]Change in Proportion Layers'!$A$8:$A$321,0))</f>
        <v>125780</v>
      </c>
      <c r="M122" s="120">
        <f t="shared" si="4"/>
        <v>3143669</v>
      </c>
      <c r="N122" s="121"/>
      <c r="O122" s="121">
        <f>ROUND(VLOOKUP(A122,'[2]Contribution Allocation_Report'!$A$9:$D$310,4,FALSE)*'PY_OPEB Amounts'!$O$323,0)</f>
        <v>-591257</v>
      </c>
      <c r="P122" s="121">
        <f>INDEX('[2]Change in Proportion Layers'!$X$8:$X$321,MATCH('PY_OPEB Amounts'!A122,'[2]Change in Proportion Layers'!$A$8:$A$321,0))</f>
        <v>23444</v>
      </c>
      <c r="Q122" s="121">
        <f t="shared" si="5"/>
        <v>-567813</v>
      </c>
    </row>
    <row r="123" spans="1:17" ht="12" customHeight="1">
      <c r="A123" s="166">
        <v>2430</v>
      </c>
      <c r="B123" s="167" t="s">
        <v>113</v>
      </c>
      <c r="C123" s="122">
        <f>ROUND(VLOOKUP(A123,'[2]Contribution Allocation_Report'!$A$9:$D$310,4,FALSE)*'PY_OPEB Amounts'!$C$323,0)</f>
        <v>851543</v>
      </c>
      <c r="D123" s="122">
        <f>ROUND(VLOOKUP(A123,'[2]Contribution Allocation_Report'!$A$9:$D$310,4,FALSE)*'PY_OPEB Amounts'!$D$323,0)</f>
        <v>12451</v>
      </c>
      <c r="E123" s="122">
        <f>ROUND(VLOOKUP(A123,'[2]Contribution Allocation_Report'!$A$9:$D$310,4,FALSE)*'PY_OPEB Amounts'!$E$323,0)</f>
        <v>170487</v>
      </c>
      <c r="F123" s="122">
        <f>INDEX('[2]Change in Proportion Layers'!$Z$8:$Z$321,MATCH('PY_OPEB Amounts'!A123,'[2]Change in Proportion Layers'!$A$8:$A$321,0))</f>
        <v>45444</v>
      </c>
      <c r="G123" s="122">
        <f t="shared" si="3"/>
        <v>228382</v>
      </c>
      <c r="H123" s="122"/>
      <c r="I123" s="122">
        <f>ROUND(VLOOKUP(A123,'[2]Contribution Allocation_Report'!$A$9:$D$310,4,FALSE)*'PY_OPEB Amounts'!$I$323,0)</f>
        <v>135803</v>
      </c>
      <c r="J123" s="122">
        <f>ROUND(VLOOKUP(A123,'[2]Contribution Allocation_Report'!$A$9:$D$310,4,FALSE)*'PY_OPEB Amounts'!$J$323,0)</f>
        <v>24409</v>
      </c>
      <c r="K123" s="122">
        <f>ROUND(VLOOKUP(A123,'[2]Contribution Allocation_Report'!$A$9:$D$310,4,FALSE)*'PY_OPEB Amounts'!$K$323,0)</f>
        <v>307863</v>
      </c>
      <c r="L123" s="122">
        <f>INDEX('[2]Change in Proportion Layers'!$AA$8:$AA$321,MATCH('PY_OPEB Amounts'!A123,'[2]Change in Proportion Layers'!$A$8:$A$321,0))</f>
        <v>207890</v>
      </c>
      <c r="M123" s="122">
        <f t="shared" si="4"/>
        <v>675965</v>
      </c>
      <c r="N123" s="123"/>
      <c r="O123" s="123">
        <f>ROUND(VLOOKUP(A123,'[2]Contribution Allocation_Report'!$A$9:$D$310,4,FALSE)*'PY_OPEB Amounts'!$O$323,0)</f>
        <v>-91704</v>
      </c>
      <c r="P123" s="123">
        <f>INDEX('[2]Change in Proportion Layers'!$X$8:$X$321,MATCH('PY_OPEB Amounts'!A123,'[2]Change in Proportion Layers'!$A$8:$A$321,0))</f>
        <v>-27442</v>
      </c>
      <c r="Q123" s="123">
        <f t="shared" si="5"/>
        <v>-119146</v>
      </c>
    </row>
    <row r="124" spans="1:17" ht="12" customHeight="1">
      <c r="A124" s="164">
        <v>9150</v>
      </c>
      <c r="B124" s="168" t="s">
        <v>114</v>
      </c>
      <c r="C124" s="120">
        <f>ROUND(VLOOKUP(A124,'[2]Contribution Allocation_Report'!$A$9:$D$310,4,FALSE)*'PY_OPEB Amounts'!$C$323,0)</f>
        <v>456042</v>
      </c>
      <c r="D124" s="120">
        <f>ROUND(VLOOKUP(A124,'[2]Contribution Allocation_Report'!$A$9:$D$310,4,FALSE)*'PY_OPEB Amounts'!$D$323,0)</f>
        <v>6668</v>
      </c>
      <c r="E124" s="120">
        <f>ROUND(VLOOKUP(A124,'[2]Contribution Allocation_Report'!$A$9:$D$310,4,FALSE)*'PY_OPEB Amounts'!$E$323,0)</f>
        <v>91304</v>
      </c>
      <c r="F124" s="120">
        <f>INDEX('[2]Change in Proportion Layers'!$Z$8:$Z$321,MATCH('PY_OPEB Amounts'!A124,'[2]Change in Proportion Layers'!$A$8:$A$321,0))</f>
        <v>0</v>
      </c>
      <c r="G124" s="120">
        <f t="shared" si="3"/>
        <v>97972</v>
      </c>
      <c r="H124" s="120"/>
      <c r="I124" s="120">
        <f>ROUND(VLOOKUP(A124,'[2]Contribution Allocation_Report'!$A$9:$D$310,4,FALSE)*'PY_OPEB Amounts'!$I$323,0)</f>
        <v>72729</v>
      </c>
      <c r="J124" s="120">
        <f>ROUND(VLOOKUP(A124,'[2]Contribution Allocation_Report'!$A$9:$D$310,4,FALSE)*'PY_OPEB Amounts'!$J$323,0)</f>
        <v>13072</v>
      </c>
      <c r="K124" s="120">
        <f>ROUND(VLOOKUP(A124,'[2]Contribution Allocation_Report'!$A$9:$D$310,4,FALSE)*'PY_OPEB Amounts'!$K$323,0)</f>
        <v>164876</v>
      </c>
      <c r="L124" s="130">
        <f>INDEX('[2]Change in Proportion Layers'!$AA$8:$AA$321,MATCH('PY_OPEB Amounts'!A124,'[2]Change in Proportion Layers'!$A$8:$A$321,0))</f>
        <v>1342523</v>
      </c>
      <c r="M124" s="120">
        <f t="shared" si="4"/>
        <v>1593200</v>
      </c>
      <c r="N124" s="121"/>
      <c r="O124" s="121">
        <f>ROUND(VLOOKUP(A124,'[2]Contribution Allocation_Report'!$A$9:$D$310,4,FALSE)*'PY_OPEB Amounts'!$O$323,0)</f>
        <v>-49112</v>
      </c>
      <c r="P124" s="121">
        <f>INDEX('[2]Change in Proportion Layers'!$X$8:$X$321,MATCH('PY_OPEB Amounts'!A124,'[2]Change in Proportion Layers'!$A$8:$A$321,0))</f>
        <v>-585469</v>
      </c>
      <c r="Q124" s="121">
        <f t="shared" si="5"/>
        <v>-634581</v>
      </c>
    </row>
    <row r="125" spans="1:17" ht="12" customHeight="1">
      <c r="A125" s="166">
        <v>6017</v>
      </c>
      <c r="B125" s="167" t="s">
        <v>115</v>
      </c>
      <c r="C125" s="122">
        <f>ROUND(VLOOKUP(A125,'[2]Contribution Allocation_Report'!$A$9:$D$310,4,FALSE)*'PY_OPEB Amounts'!$C$323,0)</f>
        <v>41908527</v>
      </c>
      <c r="D125" s="122">
        <f>ROUND(VLOOKUP(A125,'[2]Contribution Allocation_Report'!$A$9:$D$310,4,FALSE)*'PY_OPEB Amounts'!$D$323,0)</f>
        <v>612758</v>
      </c>
      <c r="E125" s="122">
        <f>ROUND(VLOOKUP(A125,'[2]Contribution Allocation_Report'!$A$9:$D$310,4,FALSE)*'PY_OPEB Amounts'!$E$323,0)</f>
        <v>8390475</v>
      </c>
      <c r="F125" s="131">
        <f>INDEX('[2]Change in Proportion Layers'!$Z$8:$Z$321,MATCH('PY_OPEB Amounts'!A125,'[2]Change in Proportion Layers'!$A$8:$A$321,0))</f>
        <v>6170066</v>
      </c>
      <c r="G125" s="122">
        <f t="shared" si="3"/>
        <v>15173299</v>
      </c>
      <c r="H125" s="122"/>
      <c r="I125" s="122">
        <f>ROUND(VLOOKUP(A125,'[2]Contribution Allocation_Report'!$A$9:$D$310,4,FALSE)*'PY_OPEB Amounts'!$I$323,0)</f>
        <v>6683538</v>
      </c>
      <c r="J125" s="122">
        <f>ROUND(VLOOKUP(A125,'[2]Contribution Allocation_Report'!$A$9:$D$310,4,FALSE)*'PY_OPEB Amounts'!$J$323,0)</f>
        <v>1201273</v>
      </c>
      <c r="K125" s="122">
        <f>ROUND(VLOOKUP(A125,'[2]Contribution Allocation_Report'!$A$9:$D$310,4,FALSE)*'PY_OPEB Amounts'!$K$323,0)</f>
        <v>15151418</v>
      </c>
      <c r="L125" s="122">
        <f>INDEX('[2]Change in Proportion Layers'!$AA$8:$AA$321,MATCH('PY_OPEB Amounts'!A125,'[2]Change in Proportion Layers'!$A$8:$A$321,0))</f>
        <v>1526607</v>
      </c>
      <c r="M125" s="122">
        <f t="shared" si="4"/>
        <v>24562836</v>
      </c>
      <c r="N125" s="123"/>
      <c r="O125" s="123">
        <f>ROUND(VLOOKUP(A125,'[2]Contribution Allocation_Report'!$A$9:$D$310,4,FALSE)*'PY_OPEB Amounts'!$O$323,0)</f>
        <v>-4513198</v>
      </c>
      <c r="P125" s="123">
        <f>INDEX('[2]Change in Proportion Layers'!$X$8:$X$321,MATCH('PY_OPEB Amounts'!A125,'[2]Change in Proportion Layers'!$A$8:$A$321,0))</f>
        <v>577682</v>
      </c>
      <c r="Q125" s="123">
        <f t="shared" si="5"/>
        <v>-3935516</v>
      </c>
    </row>
    <row r="126" spans="1:17" ht="12" customHeight="1">
      <c r="A126" s="164">
        <v>26080</v>
      </c>
      <c r="B126" s="168" t="s">
        <v>116</v>
      </c>
      <c r="C126" s="120">
        <f>ROUND(VLOOKUP(A126,'[2]Contribution Allocation_Report'!$A$9:$D$310,4,FALSE)*'PY_OPEB Amounts'!$C$323,0)</f>
        <v>1145371</v>
      </c>
      <c r="D126" s="120">
        <f>ROUND(VLOOKUP(A126,'[2]Contribution Allocation_Report'!$A$9:$D$310,4,FALSE)*'PY_OPEB Amounts'!$D$323,0)</f>
        <v>16747</v>
      </c>
      <c r="E126" s="120">
        <f>ROUND(VLOOKUP(A126,'[2]Contribution Allocation_Report'!$A$9:$D$310,4,FALSE)*'PY_OPEB Amounts'!$E$323,0)</f>
        <v>229314</v>
      </c>
      <c r="F126" s="120">
        <f>INDEX('[2]Change in Proportion Layers'!$Z$8:$Z$321,MATCH('PY_OPEB Amounts'!A126,'[2]Change in Proportion Layers'!$A$8:$A$321,0))</f>
        <v>114178</v>
      </c>
      <c r="G126" s="120">
        <f t="shared" si="3"/>
        <v>360239</v>
      </c>
      <c r="H126" s="120"/>
      <c r="I126" s="120">
        <f>ROUND(VLOOKUP(A126,'[2]Contribution Allocation_Report'!$A$9:$D$310,4,FALSE)*'PY_OPEB Amounts'!$I$323,0)</f>
        <v>182663</v>
      </c>
      <c r="J126" s="120">
        <f>ROUND(VLOOKUP(A126,'[2]Contribution Allocation_Report'!$A$9:$D$310,4,FALSE)*'PY_OPEB Amounts'!$J$323,0)</f>
        <v>32831</v>
      </c>
      <c r="K126" s="120">
        <f>ROUND(VLOOKUP(A126,'[2]Contribution Allocation_Report'!$A$9:$D$310,4,FALSE)*'PY_OPEB Amounts'!$K$323,0)</f>
        <v>414092</v>
      </c>
      <c r="L126" s="130">
        <f>INDEX('[2]Change in Proportion Layers'!$AA$8:$AA$321,MATCH('PY_OPEB Amounts'!A126,'[2]Change in Proportion Layers'!$A$8:$A$321,0))</f>
        <v>0</v>
      </c>
      <c r="M126" s="120">
        <f t="shared" si="4"/>
        <v>629586</v>
      </c>
      <c r="N126" s="121"/>
      <c r="O126" s="121">
        <f>ROUND(VLOOKUP(A126,'[2]Contribution Allocation_Report'!$A$9:$D$310,4,FALSE)*'PY_OPEB Amounts'!$O$323,0)</f>
        <v>-123347</v>
      </c>
      <c r="P126" s="121">
        <f>INDEX('[2]Change in Proportion Layers'!$X$8:$X$321,MATCH('PY_OPEB Amounts'!A126,'[2]Change in Proportion Layers'!$A$8:$A$321,0))</f>
        <v>28324</v>
      </c>
      <c r="Q126" s="121">
        <f t="shared" si="5"/>
        <v>-95023</v>
      </c>
    </row>
    <row r="127" spans="1:17" ht="12" customHeight="1">
      <c r="A127" s="166">
        <v>2327</v>
      </c>
      <c r="B127" s="167" t="s">
        <v>117</v>
      </c>
      <c r="C127" s="122">
        <f>ROUND(VLOOKUP(A127,'[2]Contribution Allocation_Report'!$A$9:$D$310,4,FALSE)*'PY_OPEB Amounts'!$C$323,0)</f>
        <v>1423076</v>
      </c>
      <c r="D127" s="122">
        <f>ROUND(VLOOKUP(A127,'[2]Contribution Allocation_Report'!$A$9:$D$310,4,FALSE)*'PY_OPEB Amounts'!$D$323,0)</f>
        <v>20807</v>
      </c>
      <c r="E127" s="122">
        <f>ROUND(VLOOKUP(A127,'[2]Contribution Allocation_Report'!$A$9:$D$310,4,FALSE)*'PY_OPEB Amounts'!$E$323,0)</f>
        <v>284913</v>
      </c>
      <c r="F127" s="131">
        <f>INDEX('[2]Change in Proportion Layers'!$Z$8:$Z$321,MATCH('PY_OPEB Amounts'!A127,'[2]Change in Proportion Layers'!$A$8:$A$321,0))</f>
        <v>108718</v>
      </c>
      <c r="G127" s="122">
        <f t="shared" si="3"/>
        <v>414438</v>
      </c>
      <c r="H127" s="122"/>
      <c r="I127" s="122">
        <f>ROUND(VLOOKUP(A127,'[2]Contribution Allocation_Report'!$A$9:$D$310,4,FALSE)*'PY_OPEB Amounts'!$I$323,0)</f>
        <v>226951</v>
      </c>
      <c r="J127" s="122">
        <f>ROUND(VLOOKUP(A127,'[2]Contribution Allocation_Report'!$A$9:$D$310,4,FALSE)*'PY_OPEB Amounts'!$J$323,0)</f>
        <v>40791</v>
      </c>
      <c r="K127" s="122">
        <f>ROUND(VLOOKUP(A127,'[2]Contribution Allocation_Report'!$A$9:$D$310,4,FALSE)*'PY_OPEB Amounts'!$K$323,0)</f>
        <v>514493</v>
      </c>
      <c r="L127" s="122">
        <f>INDEX('[2]Change in Proportion Layers'!$AA$8:$AA$321,MATCH('PY_OPEB Amounts'!A127,'[2]Change in Proportion Layers'!$A$8:$A$321,0))</f>
        <v>173028</v>
      </c>
      <c r="M127" s="122">
        <f t="shared" si="4"/>
        <v>955263</v>
      </c>
      <c r="N127" s="123"/>
      <c r="O127" s="123">
        <f>ROUND(VLOOKUP(A127,'[2]Contribution Allocation_Report'!$A$9:$D$310,4,FALSE)*'PY_OPEB Amounts'!$O$323,0)</f>
        <v>-153253</v>
      </c>
      <c r="P127" s="123">
        <f>INDEX('[2]Change in Proportion Layers'!$X$8:$X$321,MATCH('PY_OPEB Amounts'!A127,'[2]Change in Proportion Layers'!$A$8:$A$321,0))</f>
        <v>589</v>
      </c>
      <c r="Q127" s="123">
        <f t="shared" si="5"/>
        <v>-152664</v>
      </c>
    </row>
    <row r="128" spans="1:17" ht="12" customHeight="1">
      <c r="A128" s="164">
        <v>10119</v>
      </c>
      <c r="B128" s="168" t="s">
        <v>118</v>
      </c>
      <c r="C128" s="120">
        <f>ROUND(VLOOKUP(A128,'[2]Contribution Allocation_Report'!$A$9:$D$310,4,FALSE)*'PY_OPEB Amounts'!$C$323,0)</f>
        <v>789684</v>
      </c>
      <c r="D128" s="120">
        <f>ROUND(VLOOKUP(A128,'[2]Contribution Allocation_Report'!$A$9:$D$310,4,FALSE)*'PY_OPEB Amounts'!$D$323,0)</f>
        <v>11546</v>
      </c>
      <c r="E128" s="120">
        <f>ROUND(VLOOKUP(A128,'[2]Contribution Allocation_Report'!$A$9:$D$310,4,FALSE)*'PY_OPEB Amounts'!$E$323,0)</f>
        <v>158102</v>
      </c>
      <c r="F128" s="120">
        <f>INDEX('[2]Change in Proportion Layers'!$Z$8:$Z$321,MATCH('PY_OPEB Amounts'!A128,'[2]Change in Proportion Layers'!$A$8:$A$321,0))</f>
        <v>22990</v>
      </c>
      <c r="G128" s="120">
        <f t="shared" si="3"/>
        <v>192638</v>
      </c>
      <c r="H128" s="120"/>
      <c r="I128" s="120">
        <f>ROUND(VLOOKUP(A128,'[2]Contribution Allocation_Report'!$A$9:$D$310,4,FALSE)*'PY_OPEB Amounts'!$I$323,0)</f>
        <v>125938</v>
      </c>
      <c r="J128" s="120">
        <f>ROUND(VLOOKUP(A128,'[2]Contribution Allocation_Report'!$A$9:$D$310,4,FALSE)*'PY_OPEB Amounts'!$J$323,0)</f>
        <v>22636</v>
      </c>
      <c r="K128" s="120">
        <f>ROUND(VLOOKUP(A128,'[2]Contribution Allocation_Report'!$A$9:$D$310,4,FALSE)*'PY_OPEB Amounts'!$K$323,0)</f>
        <v>285499</v>
      </c>
      <c r="L128" s="120">
        <f>INDEX('[2]Change in Proportion Layers'!$AA$8:$AA$321,MATCH('PY_OPEB Amounts'!A128,'[2]Change in Proportion Layers'!$A$8:$A$321,0))</f>
        <v>126659</v>
      </c>
      <c r="M128" s="120">
        <f t="shared" si="4"/>
        <v>560732</v>
      </c>
      <c r="N128" s="121"/>
      <c r="O128" s="121">
        <f>ROUND(VLOOKUP(A128,'[2]Contribution Allocation_Report'!$A$9:$D$310,4,FALSE)*'PY_OPEB Amounts'!$O$323,0)</f>
        <v>-85042</v>
      </c>
      <c r="P128" s="121">
        <f>INDEX('[2]Change in Proportion Layers'!$X$8:$X$321,MATCH('PY_OPEB Amounts'!A128,'[2]Change in Proportion Layers'!$A$8:$A$321,0))</f>
        <v>-47587</v>
      </c>
      <c r="Q128" s="121">
        <f t="shared" si="5"/>
        <v>-132629</v>
      </c>
    </row>
    <row r="129" spans="1:17" ht="12" customHeight="1">
      <c r="A129" s="166">
        <v>573</v>
      </c>
      <c r="B129" s="167" t="s">
        <v>411</v>
      </c>
      <c r="C129" s="122">
        <f>ROUND(VLOOKUP(A129,'[2]Contribution Allocation_Report'!$A$9:$D$310,4,FALSE)*'PY_OPEB Amounts'!$C$323,0)</f>
        <v>1275669</v>
      </c>
      <c r="D129" s="122">
        <f>ROUND(VLOOKUP(A129,'[2]Contribution Allocation_Report'!$A$9:$D$310,4,FALSE)*'PY_OPEB Amounts'!$D$323,0)</f>
        <v>18652</v>
      </c>
      <c r="E129" s="122">
        <f>ROUND(VLOOKUP(A129,'[2]Contribution Allocation_Report'!$A$9:$D$310,4,FALSE)*'PY_OPEB Amounts'!$E$323,0)</f>
        <v>255401</v>
      </c>
      <c r="F129" s="122">
        <f>INDEX('[2]Change in Proportion Layers'!$Z$8:$Z$321,MATCH('PY_OPEB Amounts'!A129,'[2]Change in Proportion Layers'!$A$8:$A$321,0))</f>
        <v>1269059</v>
      </c>
      <c r="G129" s="122">
        <f t="shared" si="3"/>
        <v>1543112</v>
      </c>
      <c r="H129" s="122"/>
      <c r="I129" s="122">
        <f>ROUND(VLOOKUP(A129,'[2]Contribution Allocation_Report'!$A$9:$D$310,4,FALSE)*'PY_OPEB Amounts'!$I$323,0)</f>
        <v>203443</v>
      </c>
      <c r="J129" s="122">
        <f>ROUND(VLOOKUP(A129,'[2]Contribution Allocation_Report'!$A$9:$D$310,4,FALSE)*'PY_OPEB Amounts'!$J$323,0)</f>
        <v>36566</v>
      </c>
      <c r="K129" s="122">
        <f>ROUND(VLOOKUP(A129,'[2]Contribution Allocation_Report'!$A$9:$D$310,4,FALSE)*'PY_OPEB Amounts'!$K$323,0)</f>
        <v>461199</v>
      </c>
      <c r="L129" s="122">
        <f>INDEX('[2]Change in Proportion Layers'!$AA$8:$AA$321,MATCH('PY_OPEB Amounts'!A129,'[2]Change in Proportion Layers'!$A$8:$A$321,0))</f>
        <v>0</v>
      </c>
      <c r="M129" s="122">
        <f t="shared" si="4"/>
        <v>701208</v>
      </c>
      <c r="N129" s="123"/>
      <c r="O129" s="123">
        <f>ROUND(VLOOKUP(A129,'[2]Contribution Allocation_Report'!$A$9:$D$310,4,FALSE)*'PY_OPEB Amounts'!$O$323,0)</f>
        <v>-137379</v>
      </c>
      <c r="P129" s="123">
        <f>INDEX('[2]Change in Proportion Layers'!$X$8:$X$321,MATCH('PY_OPEB Amounts'!A129,'[2]Change in Proportion Layers'!$A$8:$A$321,0))</f>
        <v>343217</v>
      </c>
      <c r="Q129" s="123">
        <f t="shared" si="5"/>
        <v>205838</v>
      </c>
    </row>
    <row r="130" spans="1:17" ht="12" customHeight="1">
      <c r="A130" s="164">
        <v>2368</v>
      </c>
      <c r="B130" s="168" t="s">
        <v>119</v>
      </c>
      <c r="C130" s="120">
        <f>ROUND(VLOOKUP(A130,'[2]Contribution Allocation_Report'!$A$9:$D$310,4,FALSE)*'PY_OPEB Amounts'!$C$323,0)</f>
        <v>1648136</v>
      </c>
      <c r="D130" s="120">
        <f>ROUND(VLOOKUP(A130,'[2]Contribution Allocation_Report'!$A$9:$D$310,4,FALSE)*'PY_OPEB Amounts'!$D$323,0)</f>
        <v>24098</v>
      </c>
      <c r="E130" s="120">
        <f>ROUND(VLOOKUP(A130,'[2]Contribution Allocation_Report'!$A$9:$D$310,4,FALSE)*'PY_OPEB Amounts'!$E$323,0)</f>
        <v>329972</v>
      </c>
      <c r="F130" s="120">
        <f>INDEX('[2]Change in Proportion Layers'!$Z$8:$Z$321,MATCH('PY_OPEB Amounts'!A130,'[2]Change in Proportion Layers'!$A$8:$A$321,0))</f>
        <v>625543</v>
      </c>
      <c r="G130" s="120">
        <f t="shared" si="3"/>
        <v>979613</v>
      </c>
      <c r="H130" s="120"/>
      <c r="I130" s="120">
        <f>ROUND(VLOOKUP(A130,'[2]Contribution Allocation_Report'!$A$9:$D$310,4,FALSE)*'PY_OPEB Amounts'!$I$323,0)</f>
        <v>262843</v>
      </c>
      <c r="J130" s="120">
        <f>ROUND(VLOOKUP(A130,'[2]Contribution Allocation_Report'!$A$9:$D$310,4,FALSE)*'PY_OPEB Amounts'!$J$323,0)</f>
        <v>47242</v>
      </c>
      <c r="K130" s="120">
        <f>ROUND(VLOOKUP(A130,'[2]Contribution Allocation_Report'!$A$9:$D$310,4,FALSE)*'PY_OPEB Amounts'!$K$323,0)</f>
        <v>595860</v>
      </c>
      <c r="L130" s="120">
        <f>INDEX('[2]Change in Proportion Layers'!$AA$8:$AA$321,MATCH('PY_OPEB Amounts'!A130,'[2]Change in Proportion Layers'!$A$8:$A$321,0))</f>
        <v>128833</v>
      </c>
      <c r="M130" s="120">
        <f t="shared" si="4"/>
        <v>1034778</v>
      </c>
      <c r="N130" s="121"/>
      <c r="O130" s="121">
        <f>ROUND(VLOOKUP(A130,'[2]Contribution Allocation_Report'!$A$9:$D$310,4,FALSE)*'PY_OPEB Amounts'!$O$323,0)</f>
        <v>-177490</v>
      </c>
      <c r="P130" s="121">
        <f>INDEX('[2]Change in Proportion Layers'!$X$8:$X$321,MATCH('PY_OPEB Amounts'!A130,'[2]Change in Proportion Layers'!$A$8:$A$321,0))</f>
        <v>114727</v>
      </c>
      <c r="Q130" s="121">
        <f t="shared" si="5"/>
        <v>-62763</v>
      </c>
    </row>
    <row r="131" spans="1:17" ht="12" customHeight="1">
      <c r="A131" s="166">
        <v>7420</v>
      </c>
      <c r="B131" s="167" t="s">
        <v>120</v>
      </c>
      <c r="C131" s="122">
        <f>ROUND(VLOOKUP(A131,'[2]Contribution Allocation_Report'!$A$9:$D$310,4,FALSE)*'PY_OPEB Amounts'!$C$323,0)</f>
        <v>781129</v>
      </c>
      <c r="D131" s="122">
        <f>ROUND(VLOOKUP(A131,'[2]Contribution Allocation_Report'!$A$9:$D$310,4,FALSE)*'PY_OPEB Amounts'!$D$323,0)</f>
        <v>11421</v>
      </c>
      <c r="E131" s="122">
        <f>ROUND(VLOOKUP(A131,'[2]Contribution Allocation_Report'!$A$9:$D$310,4,FALSE)*'PY_OPEB Amounts'!$E$323,0)</f>
        <v>156389</v>
      </c>
      <c r="F131" s="122">
        <f>INDEX('[2]Change in Proportion Layers'!$Z$8:$Z$321,MATCH('PY_OPEB Amounts'!A131,'[2]Change in Proportion Layers'!$A$8:$A$321,0))</f>
        <v>173975</v>
      </c>
      <c r="G131" s="122">
        <f t="shared" si="3"/>
        <v>341785</v>
      </c>
      <c r="H131" s="122"/>
      <c r="I131" s="122">
        <f>ROUND(VLOOKUP(A131,'[2]Contribution Allocation_Report'!$A$9:$D$310,4,FALSE)*'PY_OPEB Amounts'!$I$323,0)</f>
        <v>124574</v>
      </c>
      <c r="J131" s="122">
        <f>ROUND(VLOOKUP(A131,'[2]Contribution Allocation_Report'!$A$9:$D$310,4,FALSE)*'PY_OPEB Amounts'!$J$323,0)</f>
        <v>22390</v>
      </c>
      <c r="K131" s="122">
        <f>ROUND(VLOOKUP(A131,'[2]Contribution Allocation_Report'!$A$9:$D$310,4,FALSE)*'PY_OPEB Amounts'!$K$323,0)</f>
        <v>282406</v>
      </c>
      <c r="L131" s="122">
        <f>INDEX('[2]Change in Proportion Layers'!$AA$8:$AA$321,MATCH('PY_OPEB Amounts'!A131,'[2]Change in Proportion Layers'!$A$8:$A$321,0))</f>
        <v>12645</v>
      </c>
      <c r="M131" s="122">
        <f t="shared" si="4"/>
        <v>442015</v>
      </c>
      <c r="N131" s="123"/>
      <c r="O131" s="123">
        <f>ROUND(VLOOKUP(A131,'[2]Contribution Allocation_Report'!$A$9:$D$310,4,FALSE)*'PY_OPEB Amounts'!$O$323,0)</f>
        <v>-84121</v>
      </c>
      <c r="P131" s="123">
        <f>INDEX('[2]Change in Proportion Layers'!$X$8:$X$321,MATCH('PY_OPEB Amounts'!A131,'[2]Change in Proportion Layers'!$A$8:$A$321,0))</f>
        <v>64476</v>
      </c>
      <c r="Q131" s="123">
        <f t="shared" si="5"/>
        <v>-19645</v>
      </c>
    </row>
    <row r="132" spans="1:17" ht="12" customHeight="1">
      <c r="A132" s="164">
        <v>6018</v>
      </c>
      <c r="B132" s="168" t="s">
        <v>121</v>
      </c>
      <c r="C132" s="120">
        <f>ROUND(VLOOKUP(A132,'[2]Contribution Allocation_Report'!$A$9:$D$310,4,FALSE)*'PY_OPEB Amounts'!$C$323,0)</f>
        <v>2380568</v>
      </c>
      <c r="D132" s="120">
        <f>ROUND(VLOOKUP(A132,'[2]Contribution Allocation_Report'!$A$9:$D$310,4,FALSE)*'PY_OPEB Amounts'!$D$323,0)</f>
        <v>34807</v>
      </c>
      <c r="E132" s="120">
        <f>ROUND(VLOOKUP(A132,'[2]Contribution Allocation_Report'!$A$9:$D$310,4,FALSE)*'PY_OPEB Amounts'!$E$323,0)</f>
        <v>476612</v>
      </c>
      <c r="F132" s="120">
        <f>INDEX('[2]Change in Proportion Layers'!$Z$8:$Z$321,MATCH('PY_OPEB Amounts'!A132,'[2]Change in Proportion Layers'!$A$8:$A$321,0))</f>
        <v>205185</v>
      </c>
      <c r="G132" s="120">
        <f t="shared" si="3"/>
        <v>716604</v>
      </c>
      <c r="H132" s="120"/>
      <c r="I132" s="120">
        <f>ROUND(VLOOKUP(A132,'[2]Contribution Allocation_Report'!$A$9:$D$310,4,FALSE)*'PY_OPEB Amounts'!$I$323,0)</f>
        <v>379651</v>
      </c>
      <c r="J132" s="120">
        <f>ROUND(VLOOKUP(A132,'[2]Contribution Allocation_Report'!$A$9:$D$310,4,FALSE)*'PY_OPEB Amounts'!$J$323,0)</f>
        <v>68237</v>
      </c>
      <c r="K132" s="120">
        <f>ROUND(VLOOKUP(A132,'[2]Contribution Allocation_Report'!$A$9:$D$310,4,FALSE)*'PY_OPEB Amounts'!$K$323,0)</f>
        <v>860660</v>
      </c>
      <c r="L132" s="120">
        <f>INDEX('[2]Change in Proportion Layers'!$AA$8:$AA$321,MATCH('PY_OPEB Amounts'!A132,'[2]Change in Proportion Layers'!$A$8:$A$321,0))</f>
        <v>7683</v>
      </c>
      <c r="M132" s="120">
        <f t="shared" si="4"/>
        <v>1316231</v>
      </c>
      <c r="N132" s="121"/>
      <c r="O132" s="121">
        <f>ROUND(VLOOKUP(A132,'[2]Contribution Allocation_Report'!$A$9:$D$310,4,FALSE)*'PY_OPEB Amounts'!$O$323,0)</f>
        <v>-256367</v>
      </c>
      <c r="P132" s="121">
        <f>INDEX('[2]Change in Proportion Layers'!$X$8:$X$321,MATCH('PY_OPEB Amounts'!A132,'[2]Change in Proportion Layers'!$A$8:$A$321,0))</f>
        <v>55897</v>
      </c>
      <c r="Q132" s="121">
        <f t="shared" si="5"/>
        <v>-200470</v>
      </c>
    </row>
    <row r="133" spans="1:17" ht="12" customHeight="1">
      <c r="A133" s="166">
        <v>3321</v>
      </c>
      <c r="B133" s="167" t="s">
        <v>122</v>
      </c>
      <c r="C133" s="122">
        <f>ROUND(VLOOKUP(A133,'[2]Contribution Allocation_Report'!$A$9:$D$310,4,FALSE)*'PY_OPEB Amounts'!$C$323,0)</f>
        <v>996647</v>
      </c>
      <c r="D133" s="122">
        <f>ROUND(VLOOKUP(A133,'[2]Contribution Allocation_Report'!$A$9:$D$310,4,FALSE)*'PY_OPEB Amounts'!$D$323,0)</f>
        <v>14572</v>
      </c>
      <c r="E133" s="122">
        <f>ROUND(VLOOKUP(A133,'[2]Contribution Allocation_Report'!$A$9:$D$310,4,FALSE)*'PY_OPEB Amounts'!$E$323,0)</f>
        <v>199538</v>
      </c>
      <c r="F133" s="122">
        <f>INDEX('[2]Change in Proportion Layers'!$Z$8:$Z$321,MATCH('PY_OPEB Amounts'!A133,'[2]Change in Proportion Layers'!$A$8:$A$321,0))</f>
        <v>147386</v>
      </c>
      <c r="G133" s="122">
        <f t="shared" si="3"/>
        <v>361496</v>
      </c>
      <c r="H133" s="122"/>
      <c r="I133" s="122">
        <f>ROUND(VLOOKUP(A133,'[2]Contribution Allocation_Report'!$A$9:$D$310,4,FALSE)*'PY_OPEB Amounts'!$I$323,0)</f>
        <v>158944</v>
      </c>
      <c r="J133" s="122">
        <f>ROUND(VLOOKUP(A133,'[2]Contribution Allocation_Report'!$A$9:$D$310,4,FALSE)*'PY_OPEB Amounts'!$J$323,0)</f>
        <v>28568</v>
      </c>
      <c r="K133" s="122">
        <f>ROUND(VLOOKUP(A133,'[2]Contribution Allocation_Report'!$A$9:$D$310,4,FALSE)*'PY_OPEB Amounts'!$K$323,0)</f>
        <v>360323</v>
      </c>
      <c r="L133" s="131">
        <f>INDEX('[2]Change in Proportion Layers'!$AA$8:$AA$321,MATCH('PY_OPEB Amounts'!A133,'[2]Change in Proportion Layers'!$A$8:$A$321,0))</f>
        <v>52693</v>
      </c>
      <c r="M133" s="122">
        <f t="shared" si="4"/>
        <v>600528</v>
      </c>
      <c r="N133" s="123"/>
      <c r="O133" s="123">
        <f>ROUND(VLOOKUP(A133,'[2]Contribution Allocation_Report'!$A$9:$D$310,4,FALSE)*'PY_OPEB Amounts'!$O$323,0)</f>
        <v>-107331</v>
      </c>
      <c r="P133" s="123">
        <f>INDEX('[2]Change in Proportion Layers'!$X$8:$X$321,MATCH('PY_OPEB Amounts'!A133,'[2]Change in Proportion Layers'!$A$8:$A$321,0))</f>
        <v>10259</v>
      </c>
      <c r="Q133" s="123">
        <f t="shared" si="5"/>
        <v>-97072</v>
      </c>
    </row>
    <row r="134" spans="1:17" ht="12" customHeight="1">
      <c r="A134" s="164">
        <v>29122</v>
      </c>
      <c r="B134" s="168" t="s">
        <v>123</v>
      </c>
      <c r="C134" s="120">
        <f>ROUND(VLOOKUP(A134,'[2]Contribution Allocation_Report'!$A$9:$D$310,4,FALSE)*'PY_OPEB Amounts'!$C$323,0)</f>
        <v>1329959</v>
      </c>
      <c r="D134" s="120">
        <f>ROUND(VLOOKUP(A134,'[2]Contribution Allocation_Report'!$A$9:$D$310,4,FALSE)*'PY_OPEB Amounts'!$D$323,0)</f>
        <v>19446</v>
      </c>
      <c r="E134" s="120">
        <f>ROUND(VLOOKUP(A134,'[2]Contribution Allocation_Report'!$A$9:$D$310,4,FALSE)*'PY_OPEB Amounts'!$E$323,0)</f>
        <v>266270</v>
      </c>
      <c r="F134" s="120">
        <f>INDEX('[2]Change in Proportion Layers'!$Z$8:$Z$321,MATCH('PY_OPEB Amounts'!A134,'[2]Change in Proportion Layers'!$A$8:$A$321,0))</f>
        <v>195486</v>
      </c>
      <c r="G134" s="120">
        <f t="shared" si="3"/>
        <v>481202</v>
      </c>
      <c r="H134" s="120"/>
      <c r="I134" s="120">
        <f>ROUND(VLOOKUP(A134,'[2]Contribution Allocation_Report'!$A$9:$D$310,4,FALSE)*'PY_OPEB Amounts'!$I$323,0)</f>
        <v>212101</v>
      </c>
      <c r="J134" s="120">
        <f>ROUND(VLOOKUP(A134,'[2]Contribution Allocation_Report'!$A$9:$D$310,4,FALSE)*'PY_OPEB Amounts'!$J$323,0)</f>
        <v>38122</v>
      </c>
      <c r="K134" s="120">
        <f>ROUND(VLOOKUP(A134,'[2]Contribution Allocation_Report'!$A$9:$D$310,4,FALSE)*'PY_OPEB Amounts'!$K$323,0)</f>
        <v>480827</v>
      </c>
      <c r="L134" s="130">
        <f>INDEX('[2]Change in Proportion Layers'!$AA$8:$AA$321,MATCH('PY_OPEB Amounts'!A134,'[2]Change in Proportion Layers'!$A$8:$A$321,0))</f>
        <v>420885</v>
      </c>
      <c r="M134" s="120">
        <f t="shared" si="4"/>
        <v>1151935</v>
      </c>
      <c r="N134" s="121"/>
      <c r="O134" s="121">
        <f>ROUND(VLOOKUP(A134,'[2]Contribution Allocation_Report'!$A$9:$D$310,4,FALSE)*'PY_OPEB Amounts'!$O$323,0)</f>
        <v>-143225</v>
      </c>
      <c r="P134" s="121">
        <f>INDEX('[2]Change in Proportion Layers'!$X$8:$X$321,MATCH('PY_OPEB Amounts'!A134,'[2]Change in Proportion Layers'!$A$8:$A$321,0))</f>
        <v>-88977</v>
      </c>
      <c r="Q134" s="121">
        <f t="shared" si="5"/>
        <v>-232202</v>
      </c>
    </row>
    <row r="135" spans="1:17" ht="12" customHeight="1">
      <c r="A135" s="166">
        <v>29088</v>
      </c>
      <c r="B135" s="167" t="s">
        <v>124</v>
      </c>
      <c r="C135" s="122">
        <f>ROUND(VLOOKUP(A135,'[2]Contribution Allocation_Report'!$A$9:$D$310,4,FALSE)*'PY_OPEB Amounts'!$C$323,0)</f>
        <v>1774486</v>
      </c>
      <c r="D135" s="122">
        <f>ROUND(VLOOKUP(A135,'[2]Contribution Allocation_Report'!$A$9:$D$310,4,FALSE)*'PY_OPEB Amounts'!$D$323,0)</f>
        <v>25945</v>
      </c>
      <c r="E135" s="122">
        <f>ROUND(VLOOKUP(A135,'[2]Contribution Allocation_Report'!$A$9:$D$310,4,FALSE)*'PY_OPEB Amounts'!$E$323,0)</f>
        <v>355268</v>
      </c>
      <c r="F135" s="122">
        <f>INDEX('[2]Change in Proportion Layers'!$Z$8:$Z$321,MATCH('PY_OPEB Amounts'!A135,'[2]Change in Proportion Layers'!$A$8:$A$321,0))</f>
        <v>15510</v>
      </c>
      <c r="G135" s="122">
        <f t="shared" si="3"/>
        <v>396723</v>
      </c>
      <c r="H135" s="122"/>
      <c r="I135" s="122">
        <f>ROUND(VLOOKUP(A135,'[2]Contribution Allocation_Report'!$A$9:$D$310,4,FALSE)*'PY_OPEB Amounts'!$I$323,0)</f>
        <v>282994</v>
      </c>
      <c r="J135" s="122">
        <f>ROUND(VLOOKUP(A135,'[2]Contribution Allocation_Report'!$A$9:$D$310,4,FALSE)*'PY_OPEB Amounts'!$J$323,0)</f>
        <v>50864</v>
      </c>
      <c r="K135" s="122">
        <f>ROUND(VLOOKUP(A135,'[2]Contribution Allocation_Report'!$A$9:$D$310,4,FALSE)*'PY_OPEB Amounts'!$K$323,0)</f>
        <v>641539</v>
      </c>
      <c r="L135" s="122">
        <f>INDEX('[2]Change in Proportion Layers'!$AA$8:$AA$321,MATCH('PY_OPEB Amounts'!A135,'[2]Change in Proportion Layers'!$A$8:$A$321,0))</f>
        <v>208679</v>
      </c>
      <c r="M135" s="122">
        <f t="shared" si="4"/>
        <v>1184076</v>
      </c>
      <c r="N135" s="123"/>
      <c r="O135" s="123">
        <f>ROUND(VLOOKUP(A135,'[2]Contribution Allocation_Report'!$A$9:$D$310,4,FALSE)*'PY_OPEB Amounts'!$O$323,0)</f>
        <v>-191097</v>
      </c>
      <c r="P135" s="123">
        <f>INDEX('[2]Change in Proportion Layers'!$X$8:$X$321,MATCH('PY_OPEB Amounts'!A135,'[2]Change in Proportion Layers'!$A$8:$A$321,0))</f>
        <v>-43371</v>
      </c>
      <c r="Q135" s="123">
        <f t="shared" si="5"/>
        <v>-234468</v>
      </c>
    </row>
    <row r="136" spans="1:17" ht="12" customHeight="1">
      <c r="A136" s="164">
        <v>7337</v>
      </c>
      <c r="B136" s="168" t="s">
        <v>125</v>
      </c>
      <c r="C136" s="120">
        <f>ROUND(VLOOKUP(A136,'[2]Contribution Allocation_Report'!$A$9:$D$310,4,FALSE)*'PY_OPEB Amounts'!$C$323,0)</f>
        <v>457359</v>
      </c>
      <c r="D136" s="120">
        <f>ROUND(VLOOKUP(A136,'[2]Contribution Allocation_Report'!$A$9:$D$310,4,FALSE)*'PY_OPEB Amounts'!$D$323,0)</f>
        <v>6687</v>
      </c>
      <c r="E136" s="120">
        <f>ROUND(VLOOKUP(A136,'[2]Contribution Allocation_Report'!$A$9:$D$310,4,FALSE)*'PY_OPEB Amounts'!$E$323,0)</f>
        <v>91567</v>
      </c>
      <c r="F136" s="120">
        <f>INDEX('[2]Change in Proportion Layers'!$Z$8:$Z$321,MATCH('PY_OPEB Amounts'!A136,'[2]Change in Proportion Layers'!$A$8:$A$321,0))</f>
        <v>0</v>
      </c>
      <c r="G136" s="120">
        <f t="shared" si="3"/>
        <v>98254</v>
      </c>
      <c r="H136" s="120"/>
      <c r="I136" s="120">
        <f>ROUND(VLOOKUP(A136,'[2]Contribution Allocation_Report'!$A$9:$D$310,4,FALSE)*'PY_OPEB Amounts'!$I$323,0)</f>
        <v>72939</v>
      </c>
      <c r="J136" s="120">
        <f>ROUND(VLOOKUP(A136,'[2]Contribution Allocation_Report'!$A$9:$D$310,4,FALSE)*'PY_OPEB Amounts'!$J$323,0)</f>
        <v>13110</v>
      </c>
      <c r="K136" s="120">
        <f>ROUND(VLOOKUP(A136,'[2]Contribution Allocation_Report'!$A$9:$D$310,4,FALSE)*'PY_OPEB Amounts'!$K$323,0)</f>
        <v>165351</v>
      </c>
      <c r="L136" s="120">
        <f>INDEX('[2]Change in Proportion Layers'!$AA$8:$AA$321,MATCH('PY_OPEB Amounts'!A136,'[2]Change in Proportion Layers'!$A$8:$A$321,0))</f>
        <v>254707</v>
      </c>
      <c r="M136" s="120">
        <f t="shared" si="4"/>
        <v>506107</v>
      </c>
      <c r="N136" s="121"/>
      <c r="O136" s="121">
        <f>ROUND(VLOOKUP(A136,'[2]Contribution Allocation_Report'!$A$9:$D$310,4,FALSE)*'PY_OPEB Amounts'!$O$323,0)</f>
        <v>-49254</v>
      </c>
      <c r="P136" s="121">
        <f>INDEX('[2]Change in Proportion Layers'!$X$8:$X$321,MATCH('PY_OPEB Amounts'!A136,'[2]Change in Proportion Layers'!$A$8:$A$321,0))</f>
        <v>-70941</v>
      </c>
      <c r="Q136" s="121">
        <f t="shared" si="5"/>
        <v>-120195</v>
      </c>
    </row>
    <row r="137" spans="1:17" ht="12" customHeight="1">
      <c r="A137" s="166">
        <v>2329</v>
      </c>
      <c r="B137" s="167" t="s">
        <v>126</v>
      </c>
      <c r="C137" s="122">
        <f>ROUND(VLOOKUP(A137,'[2]Contribution Allocation_Report'!$A$9:$D$310,4,FALSE)*'PY_OPEB Amounts'!$C$323,0)</f>
        <v>1454006</v>
      </c>
      <c r="D137" s="122">
        <f>ROUND(VLOOKUP(A137,'[2]Contribution Allocation_Report'!$A$9:$D$310,4,FALSE)*'PY_OPEB Amounts'!$D$323,0)</f>
        <v>21259</v>
      </c>
      <c r="E137" s="122">
        <f>ROUND(VLOOKUP(A137,'[2]Contribution Allocation_Report'!$A$9:$D$310,4,FALSE)*'PY_OPEB Amounts'!$E$323,0)</f>
        <v>291105</v>
      </c>
      <c r="F137" s="122">
        <f>INDEX('[2]Change in Proportion Layers'!$Z$8:$Z$321,MATCH('PY_OPEB Amounts'!A137,'[2]Change in Proportion Layers'!$A$8:$A$321,0))</f>
        <v>95659</v>
      </c>
      <c r="G137" s="122">
        <f t="shared" si="3"/>
        <v>408023</v>
      </c>
      <c r="H137" s="122"/>
      <c r="I137" s="122">
        <f>ROUND(VLOOKUP(A137,'[2]Contribution Allocation_Report'!$A$9:$D$310,4,FALSE)*'PY_OPEB Amounts'!$I$323,0)</f>
        <v>231884</v>
      </c>
      <c r="J137" s="122">
        <f>ROUND(VLOOKUP(A137,'[2]Contribution Allocation_Report'!$A$9:$D$310,4,FALSE)*'PY_OPEB Amounts'!$J$323,0)</f>
        <v>41678</v>
      </c>
      <c r="K137" s="122">
        <f>ROUND(VLOOKUP(A137,'[2]Contribution Allocation_Report'!$A$9:$D$310,4,FALSE)*'PY_OPEB Amounts'!$K$323,0)</f>
        <v>525675</v>
      </c>
      <c r="L137" s="122">
        <f>INDEX('[2]Change in Proportion Layers'!$AA$8:$AA$321,MATCH('PY_OPEB Amounts'!A137,'[2]Change in Proportion Layers'!$A$8:$A$321,0))</f>
        <v>522548</v>
      </c>
      <c r="M137" s="122">
        <f t="shared" si="4"/>
        <v>1321785</v>
      </c>
      <c r="N137" s="123"/>
      <c r="O137" s="123">
        <f>ROUND(VLOOKUP(A137,'[2]Contribution Allocation_Report'!$A$9:$D$310,4,FALSE)*'PY_OPEB Amounts'!$O$323,0)</f>
        <v>-156584</v>
      </c>
      <c r="P137" s="123">
        <f>INDEX('[2]Change in Proportion Layers'!$X$8:$X$321,MATCH('PY_OPEB Amounts'!A137,'[2]Change in Proportion Layers'!$A$8:$A$321,0))</f>
        <v>-98789</v>
      </c>
      <c r="Q137" s="123">
        <f t="shared" si="5"/>
        <v>-255373</v>
      </c>
    </row>
    <row r="138" spans="1:17" ht="12" customHeight="1">
      <c r="A138" s="164">
        <v>2343</v>
      </c>
      <c r="B138" s="168" t="s">
        <v>127</v>
      </c>
      <c r="C138" s="120">
        <f>ROUND(VLOOKUP(A138,'[2]Contribution Allocation_Report'!$A$9:$D$310,4,FALSE)*'PY_OPEB Amounts'!$C$323,0)</f>
        <v>1536922</v>
      </c>
      <c r="D138" s="120">
        <f>ROUND(VLOOKUP(A138,'[2]Contribution Allocation_Report'!$A$9:$D$310,4,FALSE)*'PY_OPEB Amounts'!$D$323,0)</f>
        <v>22472</v>
      </c>
      <c r="E138" s="120">
        <f>ROUND(VLOOKUP(A138,'[2]Contribution Allocation_Report'!$A$9:$D$310,4,FALSE)*'PY_OPEB Amounts'!$E$323,0)</f>
        <v>307706</v>
      </c>
      <c r="F138" s="120">
        <f>INDEX('[2]Change in Proportion Layers'!$Z$8:$Z$321,MATCH('PY_OPEB Amounts'!A138,'[2]Change in Proportion Layers'!$A$8:$A$321,0))</f>
        <v>222747</v>
      </c>
      <c r="G138" s="120">
        <f t="shared" si="3"/>
        <v>552925</v>
      </c>
      <c r="H138" s="120"/>
      <c r="I138" s="120">
        <f>ROUND(VLOOKUP(A138,'[2]Contribution Allocation_Report'!$A$9:$D$310,4,FALSE)*'PY_OPEB Amounts'!$I$323,0)</f>
        <v>245107</v>
      </c>
      <c r="J138" s="120">
        <f>ROUND(VLOOKUP(A138,'[2]Contribution Allocation_Report'!$A$9:$D$310,4,FALSE)*'PY_OPEB Amounts'!$J$323,0)</f>
        <v>44055</v>
      </c>
      <c r="K138" s="120">
        <f>ROUND(VLOOKUP(A138,'[2]Contribution Allocation_Report'!$A$9:$D$310,4,FALSE)*'PY_OPEB Amounts'!$K$323,0)</f>
        <v>555652</v>
      </c>
      <c r="L138" s="120">
        <f>INDEX('[2]Change in Proportion Layers'!$AA$8:$AA$321,MATCH('PY_OPEB Amounts'!A138,'[2]Change in Proportion Layers'!$A$8:$A$321,0))</f>
        <v>201932</v>
      </c>
      <c r="M138" s="120">
        <f t="shared" si="4"/>
        <v>1046746</v>
      </c>
      <c r="N138" s="121"/>
      <c r="O138" s="121">
        <f>ROUND(VLOOKUP(A138,'[2]Contribution Allocation_Report'!$A$9:$D$310,4,FALSE)*'PY_OPEB Amounts'!$O$323,0)</f>
        <v>-165514</v>
      </c>
      <c r="P138" s="121">
        <f>INDEX('[2]Change in Proportion Layers'!$X$8:$X$321,MATCH('PY_OPEB Amounts'!A138,'[2]Change in Proportion Layers'!$A$8:$A$321,0))</f>
        <v>-24624</v>
      </c>
      <c r="Q138" s="121">
        <f t="shared" si="5"/>
        <v>-190138</v>
      </c>
    </row>
    <row r="139" spans="1:17" ht="12" customHeight="1">
      <c r="A139" s="166">
        <v>17425</v>
      </c>
      <c r="B139" s="167" t="s">
        <v>128</v>
      </c>
      <c r="C139" s="122">
        <f>ROUND(VLOOKUP(A139,'[2]Contribution Allocation_Report'!$A$9:$D$310,4,FALSE)*'PY_OPEB Amounts'!$C$323,0)</f>
        <v>187879</v>
      </c>
      <c r="D139" s="122">
        <f>ROUND(VLOOKUP(A139,'[2]Contribution Allocation_Report'!$A$9:$D$310,4,FALSE)*'PY_OPEB Amounts'!$D$323,0)</f>
        <v>2747</v>
      </c>
      <c r="E139" s="122">
        <f>ROUND(VLOOKUP(A139,'[2]Contribution Allocation_Report'!$A$9:$D$310,4,FALSE)*'PY_OPEB Amounts'!$E$323,0)</f>
        <v>37615</v>
      </c>
      <c r="F139" s="122">
        <f>INDEX('[2]Change in Proportion Layers'!$Z$8:$Z$321,MATCH('PY_OPEB Amounts'!A139,'[2]Change in Proportion Layers'!$A$8:$A$321,0))</f>
        <v>0</v>
      </c>
      <c r="G139" s="122">
        <f t="shared" ref="G139:G202" si="6">SUM(D139:F139)</f>
        <v>40362</v>
      </c>
      <c r="H139" s="122"/>
      <c r="I139" s="122">
        <f>ROUND(VLOOKUP(A139,'[2]Contribution Allocation_Report'!$A$9:$D$310,4,FALSE)*'PY_OPEB Amounts'!$I$323,0)</f>
        <v>29963</v>
      </c>
      <c r="J139" s="122">
        <f>ROUND(VLOOKUP(A139,'[2]Contribution Allocation_Report'!$A$9:$D$310,4,FALSE)*'PY_OPEB Amounts'!$J$323,0)</f>
        <v>5385</v>
      </c>
      <c r="K139" s="122">
        <f>ROUND(VLOOKUP(A139,'[2]Contribution Allocation_Report'!$A$9:$D$310,4,FALSE)*'PY_OPEB Amounts'!$K$323,0)</f>
        <v>67925</v>
      </c>
      <c r="L139" s="131">
        <f>INDEX('[2]Change in Proportion Layers'!$AA$8:$AA$321,MATCH('PY_OPEB Amounts'!A139,'[2]Change in Proportion Layers'!$A$8:$A$321,0))</f>
        <v>243258</v>
      </c>
      <c r="M139" s="122">
        <f t="shared" ref="M139:M202" si="7">SUM(I139:L139)</f>
        <v>346531</v>
      </c>
      <c r="N139" s="123"/>
      <c r="O139" s="123">
        <f>ROUND(VLOOKUP(A139,'[2]Contribution Allocation_Report'!$A$9:$D$310,4,FALSE)*'PY_OPEB Amounts'!$O$323,0)</f>
        <v>-20233</v>
      </c>
      <c r="P139" s="123">
        <f>INDEX('[2]Change in Proportion Layers'!$X$8:$X$321,MATCH('PY_OPEB Amounts'!A139,'[2]Change in Proportion Layers'!$A$8:$A$321,0))</f>
        <v>-63426</v>
      </c>
      <c r="Q139" s="123">
        <f t="shared" ref="Q139:Q202" si="8">+O139+P139</f>
        <v>-83659</v>
      </c>
    </row>
    <row r="140" spans="1:17" ht="12" customHeight="1">
      <c r="A140" s="164">
        <v>4010</v>
      </c>
      <c r="B140" s="168" t="s">
        <v>129</v>
      </c>
      <c r="C140" s="120">
        <f>ROUND(VLOOKUP(A140,'[2]Contribution Allocation_Report'!$A$9:$D$310,4,FALSE)*'PY_OPEB Amounts'!$C$323,0)</f>
        <v>824891</v>
      </c>
      <c r="D140" s="120">
        <f>ROUND(VLOOKUP(A140,'[2]Contribution Allocation_Report'!$A$9:$D$310,4,FALSE)*'PY_OPEB Amounts'!$D$323,0)</f>
        <v>12061</v>
      </c>
      <c r="E140" s="120">
        <f>ROUND(VLOOKUP(A140,'[2]Contribution Allocation_Report'!$A$9:$D$310,4,FALSE)*'PY_OPEB Amounts'!$E$323,0)</f>
        <v>165151</v>
      </c>
      <c r="F140" s="120">
        <f>INDEX('[2]Change in Proportion Layers'!$Z$8:$Z$321,MATCH('PY_OPEB Amounts'!A140,'[2]Change in Proportion Layers'!$A$8:$A$321,0))</f>
        <v>95512</v>
      </c>
      <c r="G140" s="120">
        <f t="shared" si="6"/>
        <v>272724</v>
      </c>
      <c r="H140" s="120"/>
      <c r="I140" s="120">
        <f>ROUND(VLOOKUP(A140,'[2]Contribution Allocation_Report'!$A$9:$D$310,4,FALSE)*'PY_OPEB Amounts'!$I$323,0)</f>
        <v>131553</v>
      </c>
      <c r="J140" s="120">
        <f>ROUND(VLOOKUP(A140,'[2]Contribution Allocation_Report'!$A$9:$D$310,4,FALSE)*'PY_OPEB Amounts'!$J$323,0)</f>
        <v>23645</v>
      </c>
      <c r="K140" s="120">
        <f>ROUND(VLOOKUP(A140,'[2]Contribution Allocation_Report'!$A$9:$D$310,4,FALSE)*'PY_OPEB Amounts'!$K$323,0)</f>
        <v>298227</v>
      </c>
      <c r="L140" s="130">
        <f>INDEX('[2]Change in Proportion Layers'!$AA$8:$AA$321,MATCH('PY_OPEB Amounts'!A140,'[2]Change in Proportion Layers'!$A$8:$A$321,0))</f>
        <v>9870</v>
      </c>
      <c r="M140" s="120">
        <f t="shared" si="7"/>
        <v>463295</v>
      </c>
      <c r="N140" s="121"/>
      <c r="O140" s="121">
        <f>ROUND(VLOOKUP(A140,'[2]Contribution Allocation_Report'!$A$9:$D$310,4,FALSE)*'PY_OPEB Amounts'!$O$323,0)</f>
        <v>-88834</v>
      </c>
      <c r="P140" s="121">
        <f>INDEX('[2]Change in Proportion Layers'!$X$8:$X$321,MATCH('PY_OPEB Amounts'!A140,'[2]Change in Proportion Layers'!$A$8:$A$321,0))</f>
        <v>20615</v>
      </c>
      <c r="Q140" s="121">
        <f t="shared" si="8"/>
        <v>-68219</v>
      </c>
    </row>
    <row r="141" spans="1:17" ht="12" customHeight="1">
      <c r="A141" s="166">
        <v>7023</v>
      </c>
      <c r="B141" s="167" t="s">
        <v>130</v>
      </c>
      <c r="C141" s="122">
        <f>ROUND(VLOOKUP(A141,'[2]Contribution Allocation_Report'!$A$9:$D$310,4,FALSE)*'PY_OPEB Amounts'!$C$323,0)</f>
        <v>104160300</v>
      </c>
      <c r="D141" s="122">
        <f>ROUND(VLOOKUP(A141,'[2]Contribution Allocation_Report'!$A$9:$D$310,4,FALSE)*'PY_OPEB Amounts'!$D$323,0)</f>
        <v>1522961</v>
      </c>
      <c r="E141" s="122">
        <f>ROUND(VLOOKUP(A141,'[2]Contribution Allocation_Report'!$A$9:$D$310,4,FALSE)*'PY_OPEB Amounts'!$E$323,0)</f>
        <v>20853856</v>
      </c>
      <c r="F141" s="122">
        <f>INDEX('[2]Change in Proportion Layers'!$Z$8:$Z$321,MATCH('PY_OPEB Amounts'!A141,'[2]Change in Proportion Layers'!$A$8:$A$321,0))</f>
        <v>4031751</v>
      </c>
      <c r="G141" s="122">
        <f t="shared" si="6"/>
        <v>26408568</v>
      </c>
      <c r="H141" s="122"/>
      <c r="I141" s="122">
        <f>ROUND(VLOOKUP(A141,'[2]Contribution Allocation_Report'!$A$9:$D$310,4,FALSE)*'PY_OPEB Amounts'!$I$323,0)</f>
        <v>16611402</v>
      </c>
      <c r="J141" s="122">
        <f>ROUND(VLOOKUP(A141,'[2]Contribution Allocation_Report'!$A$9:$D$310,4,FALSE)*'PY_OPEB Amounts'!$J$323,0)</f>
        <v>2985667</v>
      </c>
      <c r="K141" s="122">
        <f>ROUND(VLOOKUP(A141,'[2]Contribution Allocation_Report'!$A$9:$D$310,4,FALSE)*'PY_OPEB Amounts'!$K$323,0)</f>
        <v>37657641</v>
      </c>
      <c r="L141" s="122">
        <f>INDEX('[2]Change in Proportion Layers'!$AA$8:$AA$321,MATCH('PY_OPEB Amounts'!A141,'[2]Change in Proportion Layers'!$A$8:$A$321,0))</f>
        <v>0</v>
      </c>
      <c r="M141" s="122">
        <f t="shared" si="7"/>
        <v>57254710</v>
      </c>
      <c r="N141" s="123"/>
      <c r="O141" s="123">
        <f>ROUND(VLOOKUP(A141,'[2]Contribution Allocation_Report'!$A$9:$D$310,4,FALSE)*'PY_OPEB Amounts'!$O$323,0)</f>
        <v>-11217193</v>
      </c>
      <c r="P141" s="123">
        <f>INDEX('[2]Change in Proportion Layers'!$X$8:$X$321,MATCH('PY_OPEB Amounts'!A141,'[2]Change in Proportion Layers'!$A$8:$A$321,0))</f>
        <v>1165813</v>
      </c>
      <c r="Q141" s="123">
        <f t="shared" si="8"/>
        <v>-10051380</v>
      </c>
    </row>
    <row r="142" spans="1:17" ht="12" customHeight="1">
      <c r="A142" s="164">
        <v>7338</v>
      </c>
      <c r="B142" s="168" t="s">
        <v>131</v>
      </c>
      <c r="C142" s="120">
        <f>ROUND(VLOOKUP(A142,'[2]Contribution Allocation_Report'!$A$9:$D$310,4,FALSE)*'PY_OPEB Amounts'!$C$323,0)</f>
        <v>954201</v>
      </c>
      <c r="D142" s="120">
        <f>ROUND(VLOOKUP(A142,'[2]Contribution Allocation_Report'!$A$9:$D$310,4,FALSE)*'PY_OPEB Amounts'!$D$323,0)</f>
        <v>13952</v>
      </c>
      <c r="E142" s="120">
        <f>ROUND(VLOOKUP(A142,'[2]Contribution Allocation_Report'!$A$9:$D$310,4,FALSE)*'PY_OPEB Amounts'!$E$323,0)</f>
        <v>191040</v>
      </c>
      <c r="F142" s="120">
        <f>INDEX('[2]Change in Proportion Layers'!$Z$8:$Z$321,MATCH('PY_OPEB Amounts'!A142,'[2]Change in Proportion Layers'!$A$8:$A$321,0))</f>
        <v>191123</v>
      </c>
      <c r="G142" s="120">
        <f t="shared" si="6"/>
        <v>396115</v>
      </c>
      <c r="H142" s="120"/>
      <c r="I142" s="120">
        <f>ROUND(VLOOKUP(A142,'[2]Contribution Allocation_Report'!$A$9:$D$310,4,FALSE)*'PY_OPEB Amounts'!$I$323,0)</f>
        <v>152175</v>
      </c>
      <c r="J142" s="120">
        <f>ROUND(VLOOKUP(A142,'[2]Contribution Allocation_Report'!$A$9:$D$310,4,FALSE)*'PY_OPEB Amounts'!$J$323,0)</f>
        <v>27351</v>
      </c>
      <c r="K142" s="120">
        <f>ROUND(VLOOKUP(A142,'[2]Contribution Allocation_Report'!$A$9:$D$310,4,FALSE)*'PY_OPEB Amounts'!$K$323,0)</f>
        <v>344978</v>
      </c>
      <c r="L142" s="120">
        <f>INDEX('[2]Change in Proportion Layers'!$AA$8:$AA$321,MATCH('PY_OPEB Amounts'!A142,'[2]Change in Proportion Layers'!$A$8:$A$321,0))</f>
        <v>0</v>
      </c>
      <c r="M142" s="120">
        <f t="shared" si="7"/>
        <v>524504</v>
      </c>
      <c r="N142" s="121"/>
      <c r="O142" s="121">
        <f>ROUND(VLOOKUP(A142,'[2]Contribution Allocation_Report'!$A$9:$D$310,4,FALSE)*'PY_OPEB Amounts'!$O$323,0)</f>
        <v>-102760</v>
      </c>
      <c r="P142" s="121">
        <f>INDEX('[2]Change in Proportion Layers'!$X$8:$X$321,MATCH('PY_OPEB Amounts'!A142,'[2]Change in Proportion Layers'!$A$8:$A$321,0))</f>
        <v>75429</v>
      </c>
      <c r="Q142" s="121">
        <f t="shared" si="8"/>
        <v>-27331</v>
      </c>
    </row>
    <row r="143" spans="1:17" ht="12" customHeight="1">
      <c r="A143" s="166">
        <v>12037</v>
      </c>
      <c r="B143" s="167" t="s">
        <v>132</v>
      </c>
      <c r="C143" s="122">
        <f>ROUND(VLOOKUP(A143,'[2]Contribution Allocation_Report'!$A$9:$D$310,4,FALSE)*'PY_OPEB Amounts'!$C$323,0)</f>
        <v>6645519</v>
      </c>
      <c r="D143" s="122">
        <f>ROUND(VLOOKUP(A143,'[2]Contribution Allocation_Report'!$A$9:$D$310,4,FALSE)*'PY_OPEB Amounts'!$D$323,0)</f>
        <v>97166</v>
      </c>
      <c r="E143" s="122">
        <f>ROUND(VLOOKUP(A143,'[2]Contribution Allocation_Report'!$A$9:$D$310,4,FALSE)*'PY_OPEB Amounts'!$E$323,0)</f>
        <v>1330495</v>
      </c>
      <c r="F143" s="122">
        <f>INDEX('[2]Change in Proportion Layers'!$Z$8:$Z$321,MATCH('PY_OPEB Amounts'!A143,'[2]Change in Proportion Layers'!$A$8:$A$321,0))</f>
        <v>722283</v>
      </c>
      <c r="G143" s="122">
        <f t="shared" si="6"/>
        <v>2149944</v>
      </c>
      <c r="H143" s="122"/>
      <c r="I143" s="122">
        <f>ROUND(VLOOKUP(A143,'[2]Contribution Allocation_Report'!$A$9:$D$310,4,FALSE)*'PY_OPEB Amounts'!$I$323,0)</f>
        <v>1059822</v>
      </c>
      <c r="J143" s="122">
        <f>ROUND(VLOOKUP(A143,'[2]Contribution Allocation_Report'!$A$9:$D$310,4,FALSE)*'PY_OPEB Amounts'!$J$323,0)</f>
        <v>190488</v>
      </c>
      <c r="K143" s="122">
        <f>ROUND(VLOOKUP(A143,'[2]Contribution Allocation_Report'!$A$9:$D$310,4,FALSE)*'PY_OPEB Amounts'!$K$323,0)</f>
        <v>2402591</v>
      </c>
      <c r="L143" s="131">
        <f>INDEX('[2]Change in Proportion Layers'!$AA$8:$AA$321,MATCH('PY_OPEB Amounts'!A143,'[2]Change in Proportion Layers'!$A$8:$A$321,0))</f>
        <v>636740</v>
      </c>
      <c r="M143" s="122">
        <f t="shared" si="7"/>
        <v>4289641</v>
      </c>
      <c r="N143" s="123"/>
      <c r="O143" s="123">
        <f>ROUND(VLOOKUP(A143,'[2]Contribution Allocation_Report'!$A$9:$D$310,4,FALSE)*'PY_OPEB Amounts'!$O$323,0)</f>
        <v>-715667</v>
      </c>
      <c r="P143" s="123">
        <f>INDEX('[2]Change in Proportion Layers'!$X$8:$X$321,MATCH('PY_OPEB Amounts'!A143,'[2]Change in Proportion Layers'!$A$8:$A$321,0))</f>
        <v>165619</v>
      </c>
      <c r="Q143" s="123">
        <f t="shared" si="8"/>
        <v>-550048</v>
      </c>
    </row>
    <row r="144" spans="1:17" ht="12" customHeight="1">
      <c r="A144" s="164">
        <v>3150</v>
      </c>
      <c r="B144" s="168" t="s">
        <v>133</v>
      </c>
      <c r="C144" s="120">
        <f>ROUND(VLOOKUP(A144,'[2]Contribution Allocation_Report'!$A$9:$D$310,4,FALSE)*'PY_OPEB Amounts'!$C$323,0)</f>
        <v>12279585</v>
      </c>
      <c r="D144" s="120">
        <f>ROUND(VLOOKUP(A144,'[2]Contribution Allocation_Report'!$A$9:$D$310,4,FALSE)*'PY_OPEB Amounts'!$D$323,0)</f>
        <v>179544</v>
      </c>
      <c r="E144" s="120">
        <f>ROUND(VLOOKUP(A144,'[2]Contribution Allocation_Report'!$A$9:$D$310,4,FALSE)*'PY_OPEB Amounts'!$E$323,0)</f>
        <v>2458487</v>
      </c>
      <c r="F144" s="120">
        <f>INDEX('[2]Change in Proportion Layers'!$Z$8:$Z$321,MATCH('PY_OPEB Amounts'!A144,'[2]Change in Proportion Layers'!$A$8:$A$321,0))</f>
        <v>1305560</v>
      </c>
      <c r="G144" s="120">
        <f t="shared" si="6"/>
        <v>3943591</v>
      </c>
      <c r="H144" s="120"/>
      <c r="I144" s="120">
        <f>ROUND(VLOOKUP(A144,'[2]Contribution Allocation_Report'!$A$9:$D$310,4,FALSE)*'PY_OPEB Amounts'!$I$323,0)</f>
        <v>1958338</v>
      </c>
      <c r="J144" s="120">
        <f>ROUND(VLOOKUP(A144,'[2]Contribution Allocation_Report'!$A$9:$D$310,4,FALSE)*'PY_OPEB Amounts'!$J$323,0)</f>
        <v>351984</v>
      </c>
      <c r="K144" s="120">
        <f>ROUND(VLOOKUP(A144,'[2]Contribution Allocation_Report'!$A$9:$D$310,4,FALSE)*'PY_OPEB Amounts'!$K$323,0)</f>
        <v>4439505</v>
      </c>
      <c r="L144" s="130">
        <f>INDEX('[2]Change in Proportion Layers'!$AA$8:$AA$321,MATCH('PY_OPEB Amounts'!A144,'[2]Change in Proportion Layers'!$A$8:$A$321,0))</f>
        <v>1133902</v>
      </c>
      <c r="M144" s="120">
        <f t="shared" si="7"/>
        <v>7883729</v>
      </c>
      <c r="N144" s="121"/>
      <c r="O144" s="121">
        <f>ROUND(VLOOKUP(A144,'[2]Contribution Allocation_Report'!$A$9:$D$310,4,FALSE)*'PY_OPEB Amounts'!$O$323,0)</f>
        <v>-1322409</v>
      </c>
      <c r="P144" s="121">
        <f>INDEX('[2]Change in Proportion Layers'!$X$8:$X$321,MATCH('PY_OPEB Amounts'!A144,'[2]Change in Proportion Layers'!$A$8:$A$321,0))</f>
        <v>239549</v>
      </c>
      <c r="Q144" s="121">
        <f t="shared" si="8"/>
        <v>-1082860</v>
      </c>
    </row>
    <row r="145" spans="1:17" ht="12" customHeight="1">
      <c r="A145" s="166">
        <v>3160</v>
      </c>
      <c r="B145" s="167" t="s">
        <v>134</v>
      </c>
      <c r="C145" s="122">
        <f>ROUND(VLOOKUP(A145,'[2]Contribution Allocation_Report'!$A$9:$D$310,4,FALSE)*'PY_OPEB Amounts'!$C$323,0)</f>
        <v>3113987</v>
      </c>
      <c r="D145" s="122">
        <f>ROUND(VLOOKUP(A145,'[2]Contribution Allocation_Report'!$A$9:$D$310,4,FALSE)*'PY_OPEB Amounts'!$D$323,0)</f>
        <v>45531</v>
      </c>
      <c r="E145" s="122">
        <f>ROUND(VLOOKUP(A145,'[2]Contribution Allocation_Report'!$A$9:$D$310,4,FALSE)*'PY_OPEB Amounts'!$E$323,0)</f>
        <v>623449</v>
      </c>
      <c r="F145" s="122">
        <f>INDEX('[2]Change in Proportion Layers'!$Z$8:$Z$321,MATCH('PY_OPEB Amounts'!A145,'[2]Change in Proportion Layers'!$A$8:$A$321,0))</f>
        <v>90018</v>
      </c>
      <c r="G145" s="122">
        <f t="shared" si="6"/>
        <v>758998</v>
      </c>
      <c r="H145" s="122"/>
      <c r="I145" s="122">
        <f>ROUND(VLOOKUP(A145,'[2]Contribution Allocation_Report'!$A$9:$D$310,4,FALSE)*'PY_OPEB Amounts'!$I$323,0)</f>
        <v>496616</v>
      </c>
      <c r="J145" s="122">
        <f>ROUND(VLOOKUP(A145,'[2]Contribution Allocation_Report'!$A$9:$D$310,4,FALSE)*'PY_OPEB Amounts'!$J$323,0)</f>
        <v>89260</v>
      </c>
      <c r="K145" s="122">
        <f>ROUND(VLOOKUP(A145,'[2]Contribution Allocation_Report'!$A$9:$D$310,4,FALSE)*'PY_OPEB Amounts'!$K$323,0)</f>
        <v>1125817</v>
      </c>
      <c r="L145" s="122">
        <f>INDEX('[2]Change in Proportion Layers'!$AA$8:$AA$321,MATCH('PY_OPEB Amounts'!A145,'[2]Change in Proportion Layers'!$A$8:$A$321,0))</f>
        <v>332084</v>
      </c>
      <c r="M145" s="122">
        <f t="shared" si="7"/>
        <v>2043777</v>
      </c>
      <c r="N145" s="123"/>
      <c r="O145" s="123">
        <f>ROUND(VLOOKUP(A145,'[2]Contribution Allocation_Report'!$A$9:$D$310,4,FALSE)*'PY_OPEB Amounts'!$O$323,0)</f>
        <v>-335350</v>
      </c>
      <c r="P145" s="123">
        <f>INDEX('[2]Change in Proportion Layers'!$X$8:$X$321,MATCH('PY_OPEB Amounts'!A145,'[2]Change in Proportion Layers'!$A$8:$A$321,0))</f>
        <v>-47253</v>
      </c>
      <c r="Q145" s="123">
        <f t="shared" si="8"/>
        <v>-382603</v>
      </c>
    </row>
    <row r="146" spans="1:17" ht="12" customHeight="1">
      <c r="A146" s="164">
        <v>10120</v>
      </c>
      <c r="B146" s="168" t="s">
        <v>136</v>
      </c>
      <c r="C146" s="120">
        <f>ROUND(VLOOKUP(A146,'[2]Contribution Allocation_Report'!$A$9:$D$310,4,FALSE)*'PY_OPEB Amounts'!$C$323,0)</f>
        <v>1539555</v>
      </c>
      <c r="D146" s="120">
        <f>ROUND(VLOOKUP(A146,'[2]Contribution Allocation_Report'!$A$9:$D$310,4,FALSE)*'PY_OPEB Amounts'!$D$323,0)</f>
        <v>22510</v>
      </c>
      <c r="E146" s="120">
        <f>ROUND(VLOOKUP(A146,'[2]Contribution Allocation_Report'!$A$9:$D$310,4,FALSE)*'PY_OPEB Amounts'!$E$323,0)</f>
        <v>308233</v>
      </c>
      <c r="F146" s="120">
        <f>INDEX('[2]Change in Proportion Layers'!$Z$8:$Z$321,MATCH('PY_OPEB Amounts'!A146,'[2]Change in Proportion Layers'!$A$8:$A$321,0))</f>
        <v>27315</v>
      </c>
      <c r="G146" s="120">
        <f t="shared" si="6"/>
        <v>358058</v>
      </c>
      <c r="H146" s="120"/>
      <c r="I146" s="120">
        <f>ROUND(VLOOKUP(A146,'[2]Contribution Allocation_Report'!$A$9:$D$310,4,FALSE)*'PY_OPEB Amounts'!$I$323,0)</f>
        <v>245527</v>
      </c>
      <c r="J146" s="120">
        <f>ROUND(VLOOKUP(A146,'[2]Contribution Allocation_Report'!$A$9:$D$310,4,FALSE)*'PY_OPEB Amounts'!$J$323,0)</f>
        <v>44130</v>
      </c>
      <c r="K146" s="120">
        <f>ROUND(VLOOKUP(A146,'[2]Contribution Allocation_Report'!$A$9:$D$310,4,FALSE)*'PY_OPEB Amounts'!$K$323,0)</f>
        <v>556604</v>
      </c>
      <c r="L146" s="120">
        <f>INDEX('[2]Change in Proportion Layers'!$AA$8:$AA$321,MATCH('PY_OPEB Amounts'!A146,'[2]Change in Proportion Layers'!$A$8:$A$321,0))</f>
        <v>89849</v>
      </c>
      <c r="M146" s="120">
        <f t="shared" si="7"/>
        <v>936110</v>
      </c>
      <c r="N146" s="121"/>
      <c r="O146" s="121">
        <f>ROUND(VLOOKUP(A146,'[2]Contribution Allocation_Report'!$A$9:$D$310,4,FALSE)*'PY_OPEB Amounts'!$O$323,0)</f>
        <v>-165797</v>
      </c>
      <c r="P146" s="121">
        <f>INDEX('[2]Change in Proportion Layers'!$X$8:$X$321,MATCH('PY_OPEB Amounts'!A146,'[2]Change in Proportion Layers'!$A$8:$A$321,0))</f>
        <v>-13802</v>
      </c>
      <c r="Q146" s="121">
        <f t="shared" si="8"/>
        <v>-179599</v>
      </c>
    </row>
    <row r="147" spans="1:17" ht="12" customHeight="1">
      <c r="A147" s="166">
        <v>23070</v>
      </c>
      <c r="B147" s="167" t="s">
        <v>137</v>
      </c>
      <c r="C147" s="122">
        <f>ROUND(VLOOKUP(A147,'[2]Contribution Allocation_Report'!$A$9:$D$310,4,FALSE)*'PY_OPEB Amounts'!$C$323,0)</f>
        <v>2581937</v>
      </c>
      <c r="D147" s="122">
        <f>ROUND(VLOOKUP(A147,'[2]Contribution Allocation_Report'!$A$9:$D$310,4,FALSE)*'PY_OPEB Amounts'!$D$323,0)</f>
        <v>37751</v>
      </c>
      <c r="E147" s="122">
        <f>ROUND(VLOOKUP(A147,'[2]Contribution Allocation_Report'!$A$9:$D$310,4,FALSE)*'PY_OPEB Amounts'!$E$323,0)</f>
        <v>516928</v>
      </c>
      <c r="F147" s="122">
        <f>INDEX('[2]Change in Proportion Layers'!$Z$8:$Z$321,MATCH('PY_OPEB Amounts'!A147,'[2]Change in Proportion Layers'!$A$8:$A$321,0))</f>
        <v>190840</v>
      </c>
      <c r="G147" s="122">
        <f t="shared" si="6"/>
        <v>745519</v>
      </c>
      <c r="H147" s="122"/>
      <c r="I147" s="122">
        <f>ROUND(VLOOKUP(A147,'[2]Contribution Allocation_Report'!$A$9:$D$310,4,FALSE)*'PY_OPEB Amounts'!$I$323,0)</f>
        <v>411765</v>
      </c>
      <c r="J147" s="122">
        <f>ROUND(VLOOKUP(A147,'[2]Contribution Allocation_Report'!$A$9:$D$310,4,FALSE)*'PY_OPEB Amounts'!$J$323,0)</f>
        <v>74009</v>
      </c>
      <c r="K147" s="122">
        <f>ROUND(VLOOKUP(A147,'[2]Contribution Allocation_Report'!$A$9:$D$310,4,FALSE)*'PY_OPEB Amounts'!$K$323,0)</f>
        <v>933462</v>
      </c>
      <c r="L147" s="122">
        <f>INDEX('[2]Change in Proportion Layers'!$AA$8:$AA$321,MATCH('PY_OPEB Amounts'!A147,'[2]Change in Proportion Layers'!$A$8:$A$321,0))</f>
        <v>15729</v>
      </c>
      <c r="M147" s="122">
        <f t="shared" si="7"/>
        <v>1434965</v>
      </c>
      <c r="N147" s="123"/>
      <c r="O147" s="123">
        <f>ROUND(VLOOKUP(A147,'[2]Contribution Allocation_Report'!$A$9:$D$310,4,FALSE)*'PY_OPEB Amounts'!$O$323,0)</f>
        <v>-278053</v>
      </c>
      <c r="P147" s="123">
        <f>INDEX('[2]Change in Proportion Layers'!$X$8:$X$321,MATCH('PY_OPEB Amounts'!A147,'[2]Change in Proportion Layers'!$A$8:$A$321,0))</f>
        <v>62276</v>
      </c>
      <c r="Q147" s="123">
        <f t="shared" si="8"/>
        <v>-215777</v>
      </c>
    </row>
    <row r="148" spans="1:17" ht="12" customHeight="1">
      <c r="A148" s="164">
        <v>3170</v>
      </c>
      <c r="B148" s="168" t="s">
        <v>138</v>
      </c>
      <c r="C148" s="120">
        <f>ROUND(VLOOKUP(A148,'[2]Contribution Allocation_Report'!$A$9:$D$310,4,FALSE)*'PY_OPEB Amounts'!$C$323,0)</f>
        <v>31079328</v>
      </c>
      <c r="D148" s="120">
        <f>ROUND(VLOOKUP(A148,'[2]Contribution Allocation_Report'!$A$9:$D$310,4,FALSE)*'PY_OPEB Amounts'!$D$323,0)</f>
        <v>454421</v>
      </c>
      <c r="E148" s="120">
        <f>ROUND(VLOOKUP(A148,'[2]Contribution Allocation_Report'!$A$9:$D$310,4,FALSE)*'PY_OPEB Amounts'!$E$323,0)</f>
        <v>6222369</v>
      </c>
      <c r="F148" s="120">
        <f>INDEX('[2]Change in Proportion Layers'!$Z$8:$Z$321,MATCH('PY_OPEB Amounts'!A148,'[2]Change in Proportion Layers'!$A$8:$A$321,0))</f>
        <v>2013751</v>
      </c>
      <c r="G148" s="120">
        <f t="shared" si="6"/>
        <v>8690541</v>
      </c>
      <c r="H148" s="120"/>
      <c r="I148" s="120">
        <f>ROUND(VLOOKUP(A148,'[2]Contribution Allocation_Report'!$A$9:$D$310,4,FALSE)*'PY_OPEB Amounts'!$I$323,0)</f>
        <v>4956506</v>
      </c>
      <c r="J148" s="120">
        <f>ROUND(VLOOKUP(A148,'[2]Contribution Allocation_Report'!$A$9:$D$310,4,FALSE)*'PY_OPEB Amounts'!$J$323,0)</f>
        <v>890863</v>
      </c>
      <c r="K148" s="120">
        <f>ROUND(VLOOKUP(A148,'[2]Contribution Allocation_Report'!$A$9:$D$310,4,FALSE)*'PY_OPEB Amounts'!$K$323,0)</f>
        <v>11236279</v>
      </c>
      <c r="L148" s="120">
        <f>INDEX('[2]Change in Proportion Layers'!$AA$8:$AA$321,MATCH('PY_OPEB Amounts'!A148,'[2]Change in Proportion Layers'!$A$8:$A$321,0))</f>
        <v>3610330</v>
      </c>
      <c r="M148" s="120">
        <f t="shared" si="7"/>
        <v>20693978</v>
      </c>
      <c r="N148" s="121"/>
      <c r="O148" s="121">
        <f>ROUND(VLOOKUP(A148,'[2]Contribution Allocation_Report'!$A$9:$D$310,4,FALSE)*'PY_OPEB Amounts'!$O$323,0)</f>
        <v>-3346984</v>
      </c>
      <c r="P148" s="121">
        <f>INDEX('[2]Change in Proportion Layers'!$X$8:$X$321,MATCH('PY_OPEB Amounts'!A148,'[2]Change in Proportion Layers'!$A$8:$A$321,0))</f>
        <v>-510385</v>
      </c>
      <c r="Q148" s="121">
        <f t="shared" si="8"/>
        <v>-3857369</v>
      </c>
    </row>
    <row r="149" spans="1:17" ht="12" customHeight="1">
      <c r="A149" s="166">
        <v>32093</v>
      </c>
      <c r="B149" s="167" t="s">
        <v>139</v>
      </c>
      <c r="C149" s="122">
        <f>ROUND(VLOOKUP(A149,'[2]Contribution Allocation_Report'!$A$9:$D$310,4,FALSE)*'PY_OPEB Amounts'!$C$323,0)</f>
        <v>19968804</v>
      </c>
      <c r="D149" s="122">
        <f>ROUND(VLOOKUP(A149,'[2]Contribution Allocation_Report'!$A$9:$D$310,4,FALSE)*'PY_OPEB Amounts'!$D$323,0)</f>
        <v>291970</v>
      </c>
      <c r="E149" s="122">
        <f>ROUND(VLOOKUP(A149,'[2]Contribution Allocation_Report'!$A$9:$D$310,4,FALSE)*'PY_OPEB Amounts'!$E$323,0)</f>
        <v>3997939</v>
      </c>
      <c r="F149" s="122">
        <f>INDEX('[2]Change in Proportion Layers'!$Z$8:$Z$321,MATCH('PY_OPEB Amounts'!A149,'[2]Change in Proportion Layers'!$A$8:$A$321,0))</f>
        <v>1365113</v>
      </c>
      <c r="G149" s="122">
        <f t="shared" si="6"/>
        <v>5655022</v>
      </c>
      <c r="H149" s="122"/>
      <c r="I149" s="122">
        <f>ROUND(VLOOKUP(A149,'[2]Contribution Allocation_Report'!$A$9:$D$310,4,FALSE)*'PY_OPEB Amounts'!$I$323,0)</f>
        <v>3184609</v>
      </c>
      <c r="J149" s="122">
        <f>ROUND(VLOOKUP(A149,'[2]Contribution Allocation_Report'!$A$9:$D$310,4,FALSE)*'PY_OPEB Amounts'!$J$323,0)</f>
        <v>572389</v>
      </c>
      <c r="K149" s="122">
        <f>ROUND(VLOOKUP(A149,'[2]Contribution Allocation_Report'!$A$9:$D$310,4,FALSE)*'PY_OPEB Amounts'!$K$323,0)</f>
        <v>7219431</v>
      </c>
      <c r="L149" s="131">
        <f>INDEX('[2]Change in Proportion Layers'!$AA$8:$AA$321,MATCH('PY_OPEB Amounts'!A149,'[2]Change in Proportion Layers'!$A$8:$A$321,0))</f>
        <v>0</v>
      </c>
      <c r="M149" s="122">
        <f t="shared" si="7"/>
        <v>10976429</v>
      </c>
      <c r="N149" s="123"/>
      <c r="O149" s="123">
        <f>ROUND(VLOOKUP(A149,'[2]Contribution Allocation_Report'!$A$9:$D$310,4,FALSE)*'PY_OPEB Amounts'!$O$323,0)</f>
        <v>-2150473</v>
      </c>
      <c r="P149" s="123">
        <f>INDEX('[2]Change in Proportion Layers'!$X$8:$X$321,MATCH('PY_OPEB Amounts'!A149,'[2]Change in Proportion Layers'!$A$8:$A$321,0))</f>
        <v>448016</v>
      </c>
      <c r="Q149" s="123">
        <f t="shared" si="8"/>
        <v>-1702457</v>
      </c>
    </row>
    <row r="150" spans="1:17" ht="12" customHeight="1">
      <c r="A150" s="164">
        <v>14045</v>
      </c>
      <c r="B150" s="168" t="s">
        <v>140</v>
      </c>
      <c r="C150" s="120">
        <f>ROUND(VLOOKUP(A150,'[2]Contribution Allocation_Report'!$A$9:$D$310,4,FALSE)*'PY_OPEB Amounts'!$C$323,0)</f>
        <v>34482537</v>
      </c>
      <c r="D150" s="120">
        <f>ROUND(VLOOKUP(A150,'[2]Contribution Allocation_Report'!$A$9:$D$310,4,FALSE)*'PY_OPEB Amounts'!$D$323,0)</f>
        <v>504180</v>
      </c>
      <c r="E150" s="120">
        <f>ROUND(VLOOKUP(A150,'[2]Contribution Allocation_Report'!$A$9:$D$310,4,FALSE)*'PY_OPEB Amounts'!$E$323,0)</f>
        <v>6903723</v>
      </c>
      <c r="F150" s="120">
        <f>INDEX('[2]Change in Proportion Layers'!$Z$8:$Z$321,MATCH('PY_OPEB Amounts'!A150,'[2]Change in Proportion Layers'!$A$8:$A$321,0))</f>
        <v>2154486</v>
      </c>
      <c r="G150" s="120">
        <f t="shared" si="6"/>
        <v>9562389</v>
      </c>
      <c r="H150" s="120"/>
      <c r="I150" s="120">
        <f>ROUND(VLOOKUP(A150,'[2]Contribution Allocation_Report'!$A$9:$D$310,4,FALSE)*'PY_OPEB Amounts'!$I$323,0)</f>
        <v>5499247</v>
      </c>
      <c r="J150" s="120">
        <f>ROUND(VLOOKUP(A150,'[2]Contribution Allocation_Report'!$A$9:$D$310,4,FALSE)*'PY_OPEB Amounts'!$J$323,0)</f>
        <v>988413</v>
      </c>
      <c r="K150" s="120">
        <f>ROUND(VLOOKUP(A150,'[2]Contribution Allocation_Report'!$A$9:$D$310,4,FALSE)*'PY_OPEB Amounts'!$K$323,0)</f>
        <v>12466659</v>
      </c>
      <c r="L150" s="130">
        <f>INDEX('[2]Change in Proportion Layers'!$AA$8:$AA$321,MATCH('PY_OPEB Amounts'!A150,'[2]Change in Proportion Layers'!$A$8:$A$321,0))</f>
        <v>0</v>
      </c>
      <c r="M150" s="120">
        <f t="shared" si="7"/>
        <v>18954319</v>
      </c>
      <c r="N150" s="121"/>
      <c r="O150" s="121">
        <f>ROUND(VLOOKUP(A150,'[2]Contribution Allocation_Report'!$A$9:$D$310,4,FALSE)*'PY_OPEB Amounts'!$O$323,0)</f>
        <v>-3713481</v>
      </c>
      <c r="P150" s="121">
        <f>INDEX('[2]Change in Proportion Layers'!$X$8:$X$321,MATCH('PY_OPEB Amounts'!A150,'[2]Change in Proportion Layers'!$A$8:$A$321,0))</f>
        <v>756115</v>
      </c>
      <c r="Q150" s="121">
        <f t="shared" si="8"/>
        <v>-2957366</v>
      </c>
    </row>
    <row r="151" spans="1:17" ht="12" customHeight="1">
      <c r="A151" s="166">
        <v>2322</v>
      </c>
      <c r="B151" s="167" t="s">
        <v>141</v>
      </c>
      <c r="C151" s="122">
        <f>ROUND(VLOOKUP(A151,'[2]Contribution Allocation_Report'!$A$9:$D$310,4,FALSE)*'PY_OPEB Amounts'!$C$323,0)</f>
        <v>790671</v>
      </c>
      <c r="D151" s="122">
        <f>ROUND(VLOOKUP(A151,'[2]Contribution Allocation_Report'!$A$9:$D$310,4,FALSE)*'PY_OPEB Amounts'!$D$323,0)</f>
        <v>11561</v>
      </c>
      <c r="E151" s="122">
        <f>ROUND(VLOOKUP(A151,'[2]Contribution Allocation_Report'!$A$9:$D$310,4,FALSE)*'PY_OPEB Amounts'!$E$323,0)</f>
        <v>158300</v>
      </c>
      <c r="F151" s="122">
        <f>INDEX('[2]Change in Proportion Layers'!$Z$8:$Z$321,MATCH('PY_OPEB Amounts'!A151,'[2]Change in Proportion Layers'!$A$8:$A$321,0))</f>
        <v>32272</v>
      </c>
      <c r="G151" s="122">
        <f t="shared" si="6"/>
        <v>202133</v>
      </c>
      <c r="H151" s="122"/>
      <c r="I151" s="122">
        <f>ROUND(VLOOKUP(A151,'[2]Contribution Allocation_Report'!$A$9:$D$310,4,FALSE)*'PY_OPEB Amounts'!$I$323,0)</f>
        <v>126096</v>
      </c>
      <c r="J151" s="122">
        <f>ROUND(VLOOKUP(A151,'[2]Contribution Allocation_Report'!$A$9:$D$310,4,FALSE)*'PY_OPEB Amounts'!$J$323,0)</f>
        <v>22664</v>
      </c>
      <c r="K151" s="122">
        <f>ROUND(VLOOKUP(A151,'[2]Contribution Allocation_Report'!$A$9:$D$310,4,FALSE)*'PY_OPEB Amounts'!$K$323,0)</f>
        <v>285856</v>
      </c>
      <c r="L151" s="131">
        <f>INDEX('[2]Change in Proportion Layers'!$AA$8:$AA$321,MATCH('PY_OPEB Amounts'!A151,'[2]Change in Proportion Layers'!$A$8:$A$321,0))</f>
        <v>174132</v>
      </c>
      <c r="M151" s="122">
        <f t="shared" si="7"/>
        <v>608748</v>
      </c>
      <c r="N151" s="123"/>
      <c r="O151" s="123">
        <f>ROUND(VLOOKUP(A151,'[2]Contribution Allocation_Report'!$A$9:$D$310,4,FALSE)*'PY_OPEB Amounts'!$O$323,0)</f>
        <v>-85149</v>
      </c>
      <c r="P151" s="123">
        <f>INDEX('[2]Change in Proportion Layers'!$X$8:$X$321,MATCH('PY_OPEB Amounts'!A151,'[2]Change in Proportion Layers'!$A$8:$A$321,0))</f>
        <v>-35831</v>
      </c>
      <c r="Q151" s="123">
        <f t="shared" si="8"/>
        <v>-120980</v>
      </c>
    </row>
    <row r="152" spans="1:17" ht="12" customHeight="1">
      <c r="A152" s="164">
        <v>3006</v>
      </c>
      <c r="B152" s="168" t="s">
        <v>142</v>
      </c>
      <c r="C152" s="120">
        <f>ROUND(VLOOKUP(A152,'[2]Contribution Allocation_Report'!$A$9:$D$310,4,FALSE)*'PY_OPEB Amounts'!$C$323,0)</f>
        <v>2969541</v>
      </c>
      <c r="D152" s="120">
        <f>ROUND(VLOOKUP(A152,'[2]Contribution Allocation_Report'!$A$9:$D$310,4,FALSE)*'PY_OPEB Amounts'!$D$323,0)</f>
        <v>43419</v>
      </c>
      <c r="E152" s="120">
        <f>ROUND(VLOOKUP(A152,'[2]Contribution Allocation_Report'!$A$9:$D$310,4,FALSE)*'PY_OPEB Amounts'!$E$323,0)</f>
        <v>594530</v>
      </c>
      <c r="F152" s="120">
        <f>INDEX('[2]Change in Proportion Layers'!$Z$8:$Z$321,MATCH('PY_OPEB Amounts'!A152,'[2]Change in Proportion Layers'!$A$8:$A$321,0))</f>
        <v>737611</v>
      </c>
      <c r="G152" s="120">
        <f t="shared" si="6"/>
        <v>1375560</v>
      </c>
      <c r="H152" s="120"/>
      <c r="I152" s="120">
        <f>ROUND(VLOOKUP(A152,'[2]Contribution Allocation_Report'!$A$9:$D$310,4,FALSE)*'PY_OPEB Amounts'!$I$323,0)</f>
        <v>473580</v>
      </c>
      <c r="J152" s="120">
        <f>ROUND(VLOOKUP(A152,'[2]Contribution Allocation_Report'!$A$9:$D$310,4,FALSE)*'PY_OPEB Amounts'!$J$323,0)</f>
        <v>85119</v>
      </c>
      <c r="K152" s="120">
        <f>ROUND(VLOOKUP(A152,'[2]Contribution Allocation_Report'!$A$9:$D$310,4,FALSE)*'PY_OPEB Amounts'!$K$323,0)</f>
        <v>1073594</v>
      </c>
      <c r="L152" s="130">
        <f>INDEX('[2]Change in Proportion Layers'!$AA$8:$AA$321,MATCH('PY_OPEB Amounts'!A152,'[2]Change in Proportion Layers'!$A$8:$A$321,0))</f>
        <v>242379</v>
      </c>
      <c r="M152" s="120">
        <f t="shared" si="7"/>
        <v>1874672</v>
      </c>
      <c r="N152" s="121"/>
      <c r="O152" s="121">
        <f>ROUND(VLOOKUP(A152,'[2]Contribution Allocation_Report'!$A$9:$D$310,4,FALSE)*'PY_OPEB Amounts'!$O$323,0)</f>
        <v>-319795</v>
      </c>
      <c r="P152" s="121">
        <f>INDEX('[2]Change in Proportion Layers'!$X$8:$X$321,MATCH('PY_OPEB Amounts'!A152,'[2]Change in Proportion Layers'!$A$8:$A$321,0))</f>
        <v>45738</v>
      </c>
      <c r="Q152" s="121">
        <f t="shared" si="8"/>
        <v>-274057</v>
      </c>
    </row>
    <row r="153" spans="1:17" ht="12" customHeight="1">
      <c r="A153" s="166">
        <v>6019</v>
      </c>
      <c r="B153" s="167" t="s">
        <v>143</v>
      </c>
      <c r="C153" s="122">
        <f>ROUND(VLOOKUP(A153,'[2]Contribution Allocation_Report'!$A$9:$D$310,4,FALSE)*'PY_OPEB Amounts'!$C$323,0)</f>
        <v>15293875</v>
      </c>
      <c r="D153" s="122">
        <f>ROUND(VLOOKUP(A153,'[2]Contribution Allocation_Report'!$A$9:$D$310,4,FALSE)*'PY_OPEB Amounts'!$D$323,0)</f>
        <v>223617</v>
      </c>
      <c r="E153" s="122">
        <f>ROUND(VLOOKUP(A153,'[2]Contribution Allocation_Report'!$A$9:$D$310,4,FALSE)*'PY_OPEB Amounts'!$E$323,0)</f>
        <v>3061975</v>
      </c>
      <c r="F153" s="122">
        <f>INDEX('[2]Change in Proportion Layers'!$Z$8:$Z$321,MATCH('PY_OPEB Amounts'!A153,'[2]Change in Proportion Layers'!$A$8:$A$321,0))</f>
        <v>1428869</v>
      </c>
      <c r="G153" s="122">
        <f t="shared" si="6"/>
        <v>4714461</v>
      </c>
      <c r="H153" s="122"/>
      <c r="I153" s="122">
        <f>ROUND(VLOOKUP(A153,'[2]Contribution Allocation_Report'!$A$9:$D$310,4,FALSE)*'PY_OPEB Amounts'!$I$323,0)</f>
        <v>2439055</v>
      </c>
      <c r="J153" s="122">
        <f>ROUND(VLOOKUP(A153,'[2]Contribution Allocation_Report'!$A$9:$D$310,4,FALSE)*'PY_OPEB Amounts'!$J$323,0)</f>
        <v>438386</v>
      </c>
      <c r="K153" s="122">
        <f>ROUND(VLOOKUP(A153,'[2]Contribution Allocation_Report'!$A$9:$D$310,4,FALSE)*'PY_OPEB Amounts'!$K$323,0)</f>
        <v>5529278</v>
      </c>
      <c r="L153" s="131">
        <f>INDEX('[2]Change in Proportion Layers'!$AA$8:$AA$321,MATCH('PY_OPEB Amounts'!A153,'[2]Change in Proportion Layers'!$A$8:$A$321,0))</f>
        <v>111243</v>
      </c>
      <c r="M153" s="122">
        <f t="shared" si="7"/>
        <v>8517962</v>
      </c>
      <c r="N153" s="123"/>
      <c r="O153" s="123">
        <f>ROUND(VLOOKUP(A153,'[2]Contribution Allocation_Report'!$A$9:$D$310,4,FALSE)*'PY_OPEB Amounts'!$O$323,0)</f>
        <v>-1647022</v>
      </c>
      <c r="P153" s="123">
        <f>INDEX('[2]Change in Proportion Layers'!$X$8:$X$321,MATCH('PY_OPEB Amounts'!A153,'[2]Change in Proportion Layers'!$A$8:$A$321,0))</f>
        <v>277117</v>
      </c>
      <c r="Q153" s="123">
        <f t="shared" si="8"/>
        <v>-1369905</v>
      </c>
    </row>
    <row r="154" spans="1:17" ht="12" customHeight="1">
      <c r="A154" s="164">
        <v>12128</v>
      </c>
      <c r="B154" s="165" t="s">
        <v>144</v>
      </c>
      <c r="C154" s="126">
        <f>ROUND(VLOOKUP(A154,'[2]Contribution Allocation_Report'!$A$9:$D$310,4,FALSE)*'PY_OPEB Amounts'!$C$323,0)</f>
        <v>3869780</v>
      </c>
      <c r="D154" s="126">
        <f>ROUND(VLOOKUP(A154,'[2]Contribution Allocation_Report'!$A$9:$D$310,4,FALSE)*'PY_OPEB Amounts'!$D$323,0)</f>
        <v>56581</v>
      </c>
      <c r="E154" s="126">
        <f>ROUND(VLOOKUP(A154,'[2]Contribution Allocation_Report'!$A$9:$D$310,4,FALSE)*'PY_OPEB Amounts'!$E$323,0)</f>
        <v>774766</v>
      </c>
      <c r="F154" s="126">
        <f>INDEX('[2]Change in Proportion Layers'!$Z$8:$Z$321,MATCH('PY_OPEB Amounts'!A154,'[2]Change in Proportion Layers'!$A$8:$A$321,0))</f>
        <v>221552</v>
      </c>
      <c r="G154" s="126">
        <f t="shared" si="6"/>
        <v>1052899</v>
      </c>
      <c r="H154" s="126"/>
      <c r="I154" s="126">
        <f>ROUND(VLOOKUP(A154,'[2]Contribution Allocation_Report'!$A$9:$D$310,4,FALSE)*'PY_OPEB Amounts'!$I$323,0)</f>
        <v>617149</v>
      </c>
      <c r="J154" s="126">
        <f>ROUND(VLOOKUP(A154,'[2]Contribution Allocation_Report'!$A$9:$D$310,4,FALSE)*'PY_OPEB Amounts'!$J$323,0)</f>
        <v>110924</v>
      </c>
      <c r="K154" s="126">
        <f>ROUND(VLOOKUP(A154,'[2]Contribution Allocation_Report'!$A$9:$D$310,4,FALSE)*'PY_OPEB Amounts'!$K$323,0)</f>
        <v>1399063</v>
      </c>
      <c r="L154" s="128">
        <f>INDEX('[2]Change in Proportion Layers'!$AA$8:$AA$321,MATCH('PY_OPEB Amounts'!A154,'[2]Change in Proportion Layers'!$A$8:$A$321,0))</f>
        <v>730561</v>
      </c>
      <c r="M154" s="126">
        <f t="shared" si="7"/>
        <v>2857697</v>
      </c>
      <c r="N154" s="127"/>
      <c r="O154" s="127">
        <f>ROUND(VLOOKUP(A154,'[2]Contribution Allocation_Report'!$A$9:$D$310,4,FALSE)*'PY_OPEB Amounts'!$O$323,0)</f>
        <v>-416743</v>
      </c>
      <c r="P154" s="127">
        <f>INDEX('[2]Change in Proportion Layers'!$X$8:$X$321,MATCH('PY_OPEB Amounts'!A154,'[2]Change in Proportion Layers'!$A$8:$A$321,0))</f>
        <v>-89372</v>
      </c>
      <c r="Q154" s="127">
        <f t="shared" si="8"/>
        <v>-506115</v>
      </c>
    </row>
    <row r="155" spans="1:17" ht="12" customHeight="1">
      <c r="A155" s="166">
        <v>3180</v>
      </c>
      <c r="B155" s="167" t="s">
        <v>145</v>
      </c>
      <c r="C155" s="122">
        <f>ROUND(VLOOKUP(A155,'[2]Contribution Allocation_Report'!$A$9:$D$310,4,FALSE)*'PY_OPEB Amounts'!$C$323,0)</f>
        <v>5849255</v>
      </c>
      <c r="D155" s="122">
        <f>ROUND(VLOOKUP(A155,'[2]Contribution Allocation_Report'!$A$9:$D$310,4,FALSE)*'PY_OPEB Amounts'!$D$323,0)</f>
        <v>85524</v>
      </c>
      <c r="E155" s="122">
        <f>ROUND(VLOOKUP(A155,'[2]Contribution Allocation_Report'!$A$9:$D$310,4,FALSE)*'PY_OPEB Amounts'!$E$323,0)</f>
        <v>1171075</v>
      </c>
      <c r="F155" s="122">
        <f>INDEX('[2]Change in Proportion Layers'!$Z$8:$Z$321,MATCH('PY_OPEB Amounts'!A155,'[2]Change in Proportion Layers'!$A$8:$A$321,0))</f>
        <v>0</v>
      </c>
      <c r="G155" s="122">
        <f t="shared" si="6"/>
        <v>1256599</v>
      </c>
      <c r="H155" s="122"/>
      <c r="I155" s="122">
        <f>ROUND(VLOOKUP(A155,'[2]Contribution Allocation_Report'!$A$9:$D$310,4,FALSE)*'PY_OPEB Amounts'!$I$323,0)</f>
        <v>932834</v>
      </c>
      <c r="J155" s="122">
        <f>ROUND(VLOOKUP(A155,'[2]Contribution Allocation_Report'!$A$9:$D$310,4,FALSE)*'PY_OPEB Amounts'!$J$323,0)</f>
        <v>167664</v>
      </c>
      <c r="K155" s="122">
        <f>ROUND(VLOOKUP(A155,'[2]Contribution Allocation_Report'!$A$9:$D$310,4,FALSE)*'PY_OPEB Amounts'!$K$323,0)</f>
        <v>2114713</v>
      </c>
      <c r="L155" s="122">
        <f>INDEX('[2]Change in Proportion Layers'!$AA$8:$AA$321,MATCH('PY_OPEB Amounts'!A155,'[2]Change in Proportion Layers'!$A$8:$A$321,0))</f>
        <v>594543</v>
      </c>
      <c r="M155" s="122">
        <f t="shared" si="7"/>
        <v>3809754</v>
      </c>
      <c r="N155" s="123"/>
      <c r="O155" s="123">
        <f>ROUND(VLOOKUP(A155,'[2]Contribution Allocation_Report'!$A$9:$D$310,4,FALSE)*'PY_OPEB Amounts'!$O$323,0)</f>
        <v>-629916</v>
      </c>
      <c r="P155" s="123">
        <f>INDEX('[2]Change in Proportion Layers'!$X$8:$X$321,MATCH('PY_OPEB Amounts'!A155,'[2]Change in Proportion Layers'!$A$8:$A$321,0))</f>
        <v>-176632</v>
      </c>
      <c r="Q155" s="123">
        <f t="shared" si="8"/>
        <v>-806548</v>
      </c>
    </row>
    <row r="156" spans="1:17" ht="12" customHeight="1">
      <c r="A156" s="164">
        <v>25075</v>
      </c>
      <c r="B156" s="168" t="s">
        <v>146</v>
      </c>
      <c r="C156" s="120">
        <f>ROUND(VLOOKUP(A156,'[2]Contribution Allocation_Report'!$A$9:$D$310,4,FALSE)*'PY_OPEB Amounts'!$C$323,0)</f>
        <v>2383529</v>
      </c>
      <c r="D156" s="120">
        <f>ROUND(VLOOKUP(A156,'[2]Contribution Allocation_Report'!$A$9:$D$310,4,FALSE)*'PY_OPEB Amounts'!$D$323,0)</f>
        <v>34850</v>
      </c>
      <c r="E156" s="120">
        <f>ROUND(VLOOKUP(A156,'[2]Contribution Allocation_Report'!$A$9:$D$310,4,FALSE)*'PY_OPEB Amounts'!$E$323,0)</f>
        <v>477205</v>
      </c>
      <c r="F156" s="120">
        <f>INDEX('[2]Change in Proportion Layers'!$Z$8:$Z$321,MATCH('PY_OPEB Amounts'!A156,'[2]Change in Proportion Layers'!$A$8:$A$321,0))</f>
        <v>280355</v>
      </c>
      <c r="G156" s="120">
        <f t="shared" si="6"/>
        <v>792410</v>
      </c>
      <c r="H156" s="120"/>
      <c r="I156" s="120">
        <f>ROUND(VLOOKUP(A156,'[2]Contribution Allocation_Report'!$A$9:$D$310,4,FALSE)*'PY_OPEB Amounts'!$I$323,0)</f>
        <v>380123</v>
      </c>
      <c r="J156" s="120">
        <f>ROUND(VLOOKUP(A156,'[2]Contribution Allocation_Report'!$A$9:$D$310,4,FALSE)*'PY_OPEB Amounts'!$J$323,0)</f>
        <v>68322</v>
      </c>
      <c r="K156" s="120">
        <f>ROUND(VLOOKUP(A156,'[2]Contribution Allocation_Report'!$A$9:$D$310,4,FALSE)*'PY_OPEB Amounts'!$K$323,0)</f>
        <v>861730</v>
      </c>
      <c r="L156" s="120">
        <f>INDEX('[2]Change in Proportion Layers'!$AA$8:$AA$321,MATCH('PY_OPEB Amounts'!A156,'[2]Change in Proportion Layers'!$A$8:$A$321,0))</f>
        <v>237773</v>
      </c>
      <c r="M156" s="120">
        <f t="shared" si="7"/>
        <v>1547948</v>
      </c>
      <c r="N156" s="121"/>
      <c r="O156" s="121">
        <f>ROUND(VLOOKUP(A156,'[2]Contribution Allocation_Report'!$A$9:$D$310,4,FALSE)*'PY_OPEB Amounts'!$O$323,0)</f>
        <v>-256686</v>
      </c>
      <c r="P156" s="121">
        <f>INDEX('[2]Change in Proportion Layers'!$X$8:$X$321,MATCH('PY_OPEB Amounts'!A156,'[2]Change in Proportion Layers'!$A$8:$A$321,0))</f>
        <v>-24327</v>
      </c>
      <c r="Q156" s="121">
        <f t="shared" si="8"/>
        <v>-281013</v>
      </c>
    </row>
    <row r="157" spans="1:17" ht="12" customHeight="1">
      <c r="A157" s="166">
        <v>9028</v>
      </c>
      <c r="B157" s="167" t="s">
        <v>147</v>
      </c>
      <c r="C157" s="122">
        <f>ROUND(VLOOKUP(A157,'[2]Contribution Allocation_Report'!$A$9:$D$310,4,FALSE)*'PY_OPEB Amounts'!$C$323,0)</f>
        <v>942685</v>
      </c>
      <c r="D157" s="122">
        <f>ROUND(VLOOKUP(A157,'[2]Contribution Allocation_Report'!$A$9:$D$310,4,FALSE)*'PY_OPEB Amounts'!$D$323,0)</f>
        <v>13783</v>
      </c>
      <c r="E157" s="122">
        <f>ROUND(VLOOKUP(A157,'[2]Contribution Allocation_Report'!$A$9:$D$310,4,FALSE)*'PY_OPEB Amounts'!$E$323,0)</f>
        <v>188734</v>
      </c>
      <c r="F157" s="122">
        <f>INDEX('[2]Change in Proportion Layers'!$Z$8:$Z$321,MATCH('PY_OPEB Amounts'!A157,'[2]Change in Proportion Layers'!$A$8:$A$321,0))</f>
        <v>15038</v>
      </c>
      <c r="G157" s="122">
        <f t="shared" si="6"/>
        <v>217555</v>
      </c>
      <c r="H157" s="122"/>
      <c r="I157" s="122">
        <f>ROUND(VLOOKUP(A157,'[2]Contribution Allocation_Report'!$A$9:$D$310,4,FALSE)*'PY_OPEB Amounts'!$I$323,0)</f>
        <v>150339</v>
      </c>
      <c r="J157" s="122">
        <f>ROUND(VLOOKUP(A157,'[2]Contribution Allocation_Report'!$A$9:$D$310,4,FALSE)*'PY_OPEB Amounts'!$J$323,0)</f>
        <v>27021</v>
      </c>
      <c r="K157" s="122">
        <f>ROUND(VLOOKUP(A157,'[2]Contribution Allocation_Report'!$A$9:$D$310,4,FALSE)*'PY_OPEB Amounts'!$K$323,0)</f>
        <v>340814</v>
      </c>
      <c r="L157" s="122">
        <f>INDEX('[2]Change in Proportion Layers'!$AA$8:$AA$321,MATCH('PY_OPEB Amounts'!A157,'[2]Change in Proportion Layers'!$A$8:$A$321,0))</f>
        <v>77347</v>
      </c>
      <c r="M157" s="122">
        <f t="shared" si="7"/>
        <v>595521</v>
      </c>
      <c r="N157" s="123"/>
      <c r="O157" s="123">
        <f>ROUND(VLOOKUP(A157,'[2]Contribution Allocation_Report'!$A$9:$D$310,4,FALSE)*'PY_OPEB Amounts'!$O$323,0)</f>
        <v>-101519</v>
      </c>
      <c r="P157" s="123">
        <f>INDEX('[2]Change in Proportion Layers'!$X$8:$X$321,MATCH('PY_OPEB Amounts'!A157,'[2]Change in Proportion Layers'!$A$8:$A$321,0))</f>
        <v>-15191</v>
      </c>
      <c r="Q157" s="123">
        <f t="shared" si="8"/>
        <v>-116710</v>
      </c>
    </row>
    <row r="158" spans="1:17" ht="12" customHeight="1">
      <c r="A158" s="164">
        <v>17424</v>
      </c>
      <c r="B158" s="168" t="s">
        <v>148</v>
      </c>
      <c r="C158" s="120">
        <f>ROUND(VLOOKUP(A158,'[2]Contribution Allocation_Report'!$A$9:$D$310,4,FALSE)*'PY_OPEB Amounts'!$C$323,0)</f>
        <v>1698808</v>
      </c>
      <c r="D158" s="120">
        <f>ROUND(VLOOKUP(A158,'[2]Contribution Allocation_Report'!$A$9:$D$310,4,FALSE)*'PY_OPEB Amounts'!$D$323,0)</f>
        <v>24839</v>
      </c>
      <c r="E158" s="120">
        <f>ROUND(VLOOKUP(A158,'[2]Contribution Allocation_Report'!$A$9:$D$310,4,FALSE)*'PY_OPEB Amounts'!$E$323,0)</f>
        <v>340117</v>
      </c>
      <c r="F158" s="120">
        <f>INDEX('[2]Change in Proportion Layers'!$Z$8:$Z$321,MATCH('PY_OPEB Amounts'!A158,'[2]Change in Proportion Layers'!$A$8:$A$321,0))</f>
        <v>202575</v>
      </c>
      <c r="G158" s="120">
        <f t="shared" si="6"/>
        <v>567531</v>
      </c>
      <c r="H158" s="120"/>
      <c r="I158" s="120">
        <f>ROUND(VLOOKUP(A158,'[2]Contribution Allocation_Report'!$A$9:$D$310,4,FALSE)*'PY_OPEB Amounts'!$I$323,0)</f>
        <v>270924</v>
      </c>
      <c r="J158" s="120">
        <f>ROUND(VLOOKUP(A158,'[2]Contribution Allocation_Report'!$A$9:$D$310,4,FALSE)*'PY_OPEB Amounts'!$J$323,0)</f>
        <v>48695</v>
      </c>
      <c r="K158" s="120">
        <f>ROUND(VLOOKUP(A158,'[2]Contribution Allocation_Report'!$A$9:$D$310,4,FALSE)*'PY_OPEB Amounts'!$K$323,0)</f>
        <v>614179</v>
      </c>
      <c r="L158" s="120">
        <f>INDEX('[2]Change in Proportion Layers'!$AA$8:$AA$321,MATCH('PY_OPEB Amounts'!A158,'[2]Change in Proportion Layers'!$A$8:$A$321,0))</f>
        <v>66242</v>
      </c>
      <c r="M158" s="120">
        <f t="shared" si="7"/>
        <v>1000040</v>
      </c>
      <c r="N158" s="121"/>
      <c r="O158" s="121">
        <f>ROUND(VLOOKUP(A158,'[2]Contribution Allocation_Report'!$A$9:$D$310,4,FALSE)*'PY_OPEB Amounts'!$O$323,0)</f>
        <v>-182947</v>
      </c>
      <c r="P158" s="121">
        <f>INDEX('[2]Change in Proportion Layers'!$X$8:$X$321,MATCH('PY_OPEB Amounts'!A158,'[2]Change in Proportion Layers'!$A$8:$A$321,0))</f>
        <v>12645</v>
      </c>
      <c r="Q158" s="121">
        <f t="shared" si="8"/>
        <v>-170302</v>
      </c>
    </row>
    <row r="159" spans="1:17" ht="12" customHeight="1">
      <c r="A159" s="166">
        <v>3200</v>
      </c>
      <c r="B159" s="167" t="s">
        <v>149</v>
      </c>
      <c r="C159" s="122">
        <f>ROUND(VLOOKUP(A159,'[2]Contribution Allocation_Report'!$A$9:$D$310,4,FALSE)*'PY_OPEB Amounts'!$C$323,0)</f>
        <v>6800166</v>
      </c>
      <c r="D159" s="122">
        <f>ROUND(VLOOKUP(A159,'[2]Contribution Allocation_Report'!$A$9:$D$310,4,FALSE)*'PY_OPEB Amounts'!$D$323,0)</f>
        <v>99427</v>
      </c>
      <c r="E159" s="122">
        <f>ROUND(VLOOKUP(A159,'[2]Contribution Allocation_Report'!$A$9:$D$310,4,FALSE)*'PY_OPEB Amounts'!$E$323,0)</f>
        <v>1361456</v>
      </c>
      <c r="F159" s="122">
        <f>INDEX('[2]Change in Proportion Layers'!$Z$8:$Z$321,MATCH('PY_OPEB Amounts'!A159,'[2]Change in Proportion Layers'!$A$8:$A$321,0))</f>
        <v>0</v>
      </c>
      <c r="G159" s="122">
        <f t="shared" si="6"/>
        <v>1460883</v>
      </c>
      <c r="H159" s="122"/>
      <c r="I159" s="122">
        <f>ROUND(VLOOKUP(A159,'[2]Contribution Allocation_Report'!$A$9:$D$310,4,FALSE)*'PY_OPEB Amounts'!$I$323,0)</f>
        <v>1084485</v>
      </c>
      <c r="J159" s="122">
        <f>ROUND(VLOOKUP(A159,'[2]Contribution Allocation_Report'!$A$9:$D$310,4,FALSE)*'PY_OPEB Amounts'!$J$323,0)</f>
        <v>194921</v>
      </c>
      <c r="K159" s="122">
        <f>ROUND(VLOOKUP(A159,'[2]Contribution Allocation_Report'!$A$9:$D$310,4,FALSE)*'PY_OPEB Amounts'!$K$323,0)</f>
        <v>2458501</v>
      </c>
      <c r="L159" s="122">
        <f>INDEX('[2]Change in Proportion Layers'!$AA$8:$AA$321,MATCH('PY_OPEB Amounts'!A159,'[2]Change in Proportion Layers'!$A$8:$A$321,0))</f>
        <v>1186026</v>
      </c>
      <c r="M159" s="122">
        <f t="shared" si="7"/>
        <v>4923933</v>
      </c>
      <c r="N159" s="123"/>
      <c r="O159" s="123">
        <f>ROUND(VLOOKUP(A159,'[2]Contribution Allocation_Report'!$A$9:$D$310,4,FALSE)*'PY_OPEB Amounts'!$O$323,0)</f>
        <v>-732321</v>
      </c>
      <c r="P159" s="123">
        <f>INDEX('[2]Change in Proportion Layers'!$X$8:$X$321,MATCH('PY_OPEB Amounts'!A159,'[2]Change in Proportion Layers'!$A$8:$A$321,0))</f>
        <v>-453152</v>
      </c>
      <c r="Q159" s="123">
        <f t="shared" si="8"/>
        <v>-1185473</v>
      </c>
    </row>
    <row r="160" spans="1:17" ht="12" customHeight="1">
      <c r="A160" s="164">
        <v>2365</v>
      </c>
      <c r="B160" s="168" t="s">
        <v>150</v>
      </c>
      <c r="C160" s="120">
        <f>ROUND(VLOOKUP(A160,'[2]Contribution Allocation_Report'!$A$9:$D$310,4,FALSE)*'PY_OPEB Amounts'!$C$323,0)</f>
        <v>1090093</v>
      </c>
      <c r="D160" s="120">
        <f>ROUND(VLOOKUP(A160,'[2]Contribution Allocation_Report'!$A$9:$D$310,4,FALSE)*'PY_OPEB Amounts'!$D$323,0)</f>
        <v>15939</v>
      </c>
      <c r="E160" s="120">
        <f>ROUND(VLOOKUP(A160,'[2]Contribution Allocation_Report'!$A$9:$D$310,4,FALSE)*'PY_OPEB Amounts'!$E$323,0)</f>
        <v>218247</v>
      </c>
      <c r="F160" s="130">
        <f>INDEX('[2]Change in Proportion Layers'!$Z$8:$Z$321,MATCH('PY_OPEB Amounts'!A160,'[2]Change in Proportion Layers'!$A$8:$A$321,0))</f>
        <v>108667</v>
      </c>
      <c r="G160" s="120">
        <f t="shared" si="6"/>
        <v>342853</v>
      </c>
      <c r="H160" s="120"/>
      <c r="I160" s="120">
        <f>ROUND(VLOOKUP(A160,'[2]Contribution Allocation_Report'!$A$9:$D$310,4,FALSE)*'PY_OPEB Amounts'!$I$323,0)</f>
        <v>173847</v>
      </c>
      <c r="J160" s="120">
        <f>ROUND(VLOOKUP(A160,'[2]Contribution Allocation_Report'!$A$9:$D$310,4,FALSE)*'PY_OPEB Amounts'!$J$323,0)</f>
        <v>31247</v>
      </c>
      <c r="K160" s="120">
        <f>ROUND(VLOOKUP(A160,'[2]Contribution Allocation_Report'!$A$9:$D$310,4,FALSE)*'PY_OPEB Amounts'!$K$323,0)</f>
        <v>394107</v>
      </c>
      <c r="L160" s="120">
        <f>INDEX('[2]Change in Proportion Layers'!$AA$8:$AA$321,MATCH('PY_OPEB Amounts'!A160,'[2]Change in Proportion Layers'!$A$8:$A$321,0))</f>
        <v>177197</v>
      </c>
      <c r="M160" s="120">
        <f t="shared" si="7"/>
        <v>776398</v>
      </c>
      <c r="N160" s="121"/>
      <c r="O160" s="121">
        <f>ROUND(VLOOKUP(A160,'[2]Contribution Allocation_Report'!$A$9:$D$310,4,FALSE)*'PY_OPEB Amounts'!$O$323,0)</f>
        <v>-117394</v>
      </c>
      <c r="P160" s="121">
        <f>INDEX('[2]Change in Proportion Layers'!$X$8:$X$321,MATCH('PY_OPEB Amounts'!A160,'[2]Change in Proportion Layers'!$A$8:$A$321,0))</f>
        <v>4738</v>
      </c>
      <c r="Q160" s="121">
        <f t="shared" si="8"/>
        <v>-112656</v>
      </c>
    </row>
    <row r="161" spans="1:17" ht="12" customHeight="1">
      <c r="A161" s="166">
        <v>5014</v>
      </c>
      <c r="B161" s="167" t="s">
        <v>151</v>
      </c>
      <c r="C161" s="122">
        <f>ROUND(VLOOKUP(A161,'[2]Contribution Allocation_Report'!$A$9:$D$310,4,FALSE)*'PY_OPEB Amounts'!$C$323,0)</f>
        <v>1298372</v>
      </c>
      <c r="D161" s="122">
        <f>ROUND(VLOOKUP(A161,'[2]Contribution Allocation_Report'!$A$9:$D$310,4,FALSE)*'PY_OPEB Amounts'!$D$323,0)</f>
        <v>18984</v>
      </c>
      <c r="E161" s="122">
        <f>ROUND(VLOOKUP(A161,'[2]Contribution Allocation_Report'!$A$9:$D$310,4,FALSE)*'PY_OPEB Amounts'!$E$323,0)</f>
        <v>259946</v>
      </c>
      <c r="F161" s="122">
        <f>INDEX('[2]Change in Proportion Layers'!$Z$8:$Z$321,MATCH('PY_OPEB Amounts'!A161,'[2]Change in Proportion Layers'!$A$8:$A$321,0))</f>
        <v>47822</v>
      </c>
      <c r="G161" s="122">
        <f t="shared" si="6"/>
        <v>326752</v>
      </c>
      <c r="H161" s="122"/>
      <c r="I161" s="122">
        <f>ROUND(VLOOKUP(A161,'[2]Contribution Allocation_Report'!$A$9:$D$310,4,FALSE)*'PY_OPEB Amounts'!$I$323,0)</f>
        <v>207063</v>
      </c>
      <c r="J161" s="122">
        <f>ROUND(VLOOKUP(A161,'[2]Contribution Allocation_Report'!$A$9:$D$310,4,FALSE)*'PY_OPEB Amounts'!$J$323,0)</f>
        <v>37217</v>
      </c>
      <c r="K161" s="122">
        <f>ROUND(VLOOKUP(A161,'[2]Contribution Allocation_Report'!$A$9:$D$310,4,FALSE)*'PY_OPEB Amounts'!$K$323,0)</f>
        <v>469408</v>
      </c>
      <c r="L161" s="131">
        <f>INDEX('[2]Change in Proportion Layers'!$AA$8:$AA$321,MATCH('PY_OPEB Amounts'!A161,'[2]Change in Proportion Layers'!$A$8:$A$321,0))</f>
        <v>37428</v>
      </c>
      <c r="M161" s="122">
        <f t="shared" si="7"/>
        <v>751116</v>
      </c>
      <c r="N161" s="123"/>
      <c r="O161" s="123">
        <f>ROUND(VLOOKUP(A161,'[2]Contribution Allocation_Report'!$A$9:$D$310,4,FALSE)*'PY_OPEB Amounts'!$O$323,0)</f>
        <v>-139824</v>
      </c>
      <c r="P161" s="123">
        <f>INDEX('[2]Change in Proportion Layers'!$X$8:$X$321,MATCH('PY_OPEB Amounts'!A161,'[2]Change in Proportion Layers'!$A$8:$A$321,0))</f>
        <v>9358</v>
      </c>
      <c r="Q161" s="123">
        <f t="shared" si="8"/>
        <v>-130466</v>
      </c>
    </row>
    <row r="162" spans="1:17" ht="12" customHeight="1">
      <c r="A162" s="164">
        <v>17127</v>
      </c>
      <c r="B162" s="168" t="s">
        <v>152</v>
      </c>
      <c r="C162" s="120">
        <f>ROUND(VLOOKUP(A162,'[2]Contribution Allocation_Report'!$A$9:$D$310,4,FALSE)*'PY_OPEB Amounts'!$C$323,0)</f>
        <v>1380302</v>
      </c>
      <c r="D162" s="120">
        <f>ROUND(VLOOKUP(A162,'[2]Contribution Allocation_Report'!$A$9:$D$310,4,FALSE)*'PY_OPEB Amounts'!$D$323,0)</f>
        <v>20182</v>
      </c>
      <c r="E162" s="120">
        <f>ROUND(VLOOKUP(A162,'[2]Contribution Allocation_Report'!$A$9:$D$310,4,FALSE)*'PY_OPEB Amounts'!$E$323,0)</f>
        <v>276349</v>
      </c>
      <c r="F162" s="130">
        <f>INDEX('[2]Change in Proportion Layers'!$Z$8:$Z$321,MATCH('PY_OPEB Amounts'!A162,'[2]Change in Proportion Layers'!$A$8:$A$321,0))</f>
        <v>458184</v>
      </c>
      <c r="G162" s="120">
        <f t="shared" si="6"/>
        <v>754715</v>
      </c>
      <c r="H162" s="120"/>
      <c r="I162" s="120">
        <f>ROUND(VLOOKUP(A162,'[2]Contribution Allocation_Report'!$A$9:$D$310,4,FALSE)*'PY_OPEB Amounts'!$I$323,0)</f>
        <v>220129</v>
      </c>
      <c r="J162" s="120">
        <f>ROUND(VLOOKUP(A162,'[2]Contribution Allocation_Report'!$A$9:$D$310,4,FALSE)*'PY_OPEB Amounts'!$J$323,0)</f>
        <v>39565</v>
      </c>
      <c r="K162" s="120">
        <f>ROUND(VLOOKUP(A162,'[2]Contribution Allocation_Report'!$A$9:$D$310,4,FALSE)*'PY_OPEB Amounts'!$K$323,0)</f>
        <v>499028</v>
      </c>
      <c r="L162" s="120">
        <f>INDEX('[2]Change in Proportion Layers'!$AA$8:$AA$321,MATCH('PY_OPEB Amounts'!A162,'[2]Change in Proportion Layers'!$A$8:$A$321,0))</f>
        <v>843297</v>
      </c>
      <c r="M162" s="120">
        <f t="shared" si="7"/>
        <v>1602019</v>
      </c>
      <c r="N162" s="121"/>
      <c r="O162" s="121">
        <f>ROUND(VLOOKUP(A162,'[2]Contribution Allocation_Report'!$A$9:$D$310,4,FALSE)*'PY_OPEB Amounts'!$O$323,0)</f>
        <v>-148647</v>
      </c>
      <c r="P162" s="121">
        <f>INDEX('[2]Change in Proportion Layers'!$X$8:$X$321,MATCH('PY_OPEB Amounts'!A162,'[2]Change in Proportion Layers'!$A$8:$A$321,0))</f>
        <v>-170883</v>
      </c>
      <c r="Q162" s="121">
        <f t="shared" si="8"/>
        <v>-319530</v>
      </c>
    </row>
    <row r="163" spans="1:17" ht="12" customHeight="1">
      <c r="A163" s="166">
        <v>10141</v>
      </c>
      <c r="B163" s="167" t="s">
        <v>153</v>
      </c>
      <c r="C163" s="122">
        <f>ROUND(VLOOKUP(A163,'[2]Contribution Allocation_Report'!$A$9:$D$310,4,FALSE)*'PY_OPEB Amounts'!$C$323,0)</f>
        <v>2038043</v>
      </c>
      <c r="D163" s="122">
        <f>ROUND(VLOOKUP(A163,'[2]Contribution Allocation_Report'!$A$9:$D$310,4,FALSE)*'PY_OPEB Amounts'!$D$323,0)</f>
        <v>29799</v>
      </c>
      <c r="E163" s="122">
        <f>ROUND(VLOOKUP(A163,'[2]Contribution Allocation_Report'!$A$9:$D$310,4,FALSE)*'PY_OPEB Amounts'!$E$323,0)</f>
        <v>408035</v>
      </c>
      <c r="F163" s="122">
        <f>INDEX('[2]Change in Proportion Layers'!$Z$8:$Z$321,MATCH('PY_OPEB Amounts'!A163,'[2]Change in Proportion Layers'!$A$8:$A$321,0))</f>
        <v>5519</v>
      </c>
      <c r="G163" s="122">
        <f t="shared" si="6"/>
        <v>443353</v>
      </c>
      <c r="H163" s="122"/>
      <c r="I163" s="122">
        <f>ROUND(VLOOKUP(A163,'[2]Contribution Allocation_Report'!$A$9:$D$310,4,FALSE)*'PY_OPEB Amounts'!$I$323,0)</f>
        <v>325025</v>
      </c>
      <c r="J163" s="122">
        <f>ROUND(VLOOKUP(A163,'[2]Contribution Allocation_Report'!$A$9:$D$310,4,FALSE)*'PY_OPEB Amounts'!$J$323,0)</f>
        <v>58419</v>
      </c>
      <c r="K163" s="122">
        <f>ROUND(VLOOKUP(A163,'[2]Contribution Allocation_Report'!$A$9:$D$310,4,FALSE)*'PY_OPEB Amounts'!$K$323,0)</f>
        <v>736825</v>
      </c>
      <c r="L163" s="122">
        <f>INDEX('[2]Change in Proportion Layers'!$AA$8:$AA$321,MATCH('PY_OPEB Amounts'!A163,'[2]Change in Proportion Layers'!$A$8:$A$321,0))</f>
        <v>364179</v>
      </c>
      <c r="M163" s="122">
        <f t="shared" si="7"/>
        <v>1484448</v>
      </c>
      <c r="N163" s="123"/>
      <c r="O163" s="123">
        <f>ROUND(VLOOKUP(A163,'[2]Contribution Allocation_Report'!$A$9:$D$310,4,FALSE)*'PY_OPEB Amounts'!$O$323,0)</f>
        <v>-219480</v>
      </c>
      <c r="P163" s="123">
        <f>INDEX('[2]Change in Proportion Layers'!$X$8:$X$321,MATCH('PY_OPEB Amounts'!A163,'[2]Change in Proportion Layers'!$A$8:$A$321,0))</f>
        <v>-82995</v>
      </c>
      <c r="Q163" s="123">
        <f t="shared" si="8"/>
        <v>-302475</v>
      </c>
    </row>
    <row r="164" spans="1:17" ht="12" customHeight="1">
      <c r="A164" s="164">
        <v>4570</v>
      </c>
      <c r="B164" s="168" t="s">
        <v>412</v>
      </c>
      <c r="C164" s="120">
        <f>ROUND(VLOOKUP(A164,'[2]Contribution Allocation_Report'!$A$9:$D$310,4,FALSE)*'PY_OPEB Amounts'!$C$323,0)</f>
        <v>4833524</v>
      </c>
      <c r="D164" s="120">
        <f>ROUND(VLOOKUP(A164,'[2]Contribution Allocation_Report'!$A$9:$D$310,4,FALSE)*'PY_OPEB Amounts'!$D$323,0)</f>
        <v>70672</v>
      </c>
      <c r="E164" s="120">
        <f>ROUND(VLOOKUP(A164,'[2]Contribution Allocation_Report'!$A$9:$D$310,4,FALSE)*'PY_OPEB Amounts'!$E$323,0)</f>
        <v>967716</v>
      </c>
      <c r="F164" s="120">
        <f>INDEX('[2]Change in Proportion Layers'!$Z$8:$Z$321,MATCH('PY_OPEB Amounts'!A164,'[2]Change in Proportion Layers'!$A$8:$A$321,0))</f>
        <v>4016282</v>
      </c>
      <c r="G164" s="120">
        <f t="shared" si="6"/>
        <v>5054670</v>
      </c>
      <c r="H164" s="120"/>
      <c r="I164" s="120">
        <f>ROUND(VLOOKUP(A164,'[2]Contribution Allocation_Report'!$A$9:$D$310,4,FALSE)*'PY_OPEB Amounts'!$I$323,0)</f>
        <v>770847</v>
      </c>
      <c r="J164" s="120">
        <f>ROUND(VLOOKUP(A164,'[2]Contribution Allocation_Report'!$A$9:$D$310,4,FALSE)*'PY_OPEB Amounts'!$J$323,0)</f>
        <v>138549</v>
      </c>
      <c r="K164" s="120">
        <f>ROUND(VLOOKUP(A164,'[2]Contribution Allocation_Report'!$A$9:$D$310,4,FALSE)*'PY_OPEB Amounts'!$K$323,0)</f>
        <v>1747490</v>
      </c>
      <c r="L164" s="120">
        <f>INDEX('[2]Change in Proportion Layers'!$AA$8:$AA$321,MATCH('PY_OPEB Amounts'!A164,'[2]Change in Proportion Layers'!$A$8:$A$321,0))</f>
        <v>200271</v>
      </c>
      <c r="M164" s="120">
        <f t="shared" si="7"/>
        <v>2857157</v>
      </c>
      <c r="N164" s="121"/>
      <c r="O164" s="121">
        <f>ROUND(VLOOKUP(A164,'[2]Contribution Allocation_Report'!$A$9:$D$310,4,FALSE)*'PY_OPEB Amounts'!$O$323,0)</f>
        <v>-520530</v>
      </c>
      <c r="P164" s="121">
        <f>INDEX('[2]Change in Proportion Layers'!$X$8:$X$321,MATCH('PY_OPEB Amounts'!A164,'[2]Change in Proportion Layers'!$A$8:$A$321,0))</f>
        <v>1420464</v>
      </c>
      <c r="Q164" s="121">
        <f t="shared" si="8"/>
        <v>899934</v>
      </c>
    </row>
    <row r="165" spans="1:17" ht="12" customHeight="1">
      <c r="A165" s="166">
        <v>13369</v>
      </c>
      <c r="B165" s="167" t="s">
        <v>154</v>
      </c>
      <c r="C165" s="122">
        <f>ROUND(VLOOKUP(A165,'[2]Contribution Allocation_Report'!$A$9:$D$310,4,FALSE)*'PY_OPEB Amounts'!$C$323,0)</f>
        <v>437946</v>
      </c>
      <c r="D165" s="122">
        <f>ROUND(VLOOKUP(A165,'[2]Contribution Allocation_Report'!$A$9:$D$310,4,FALSE)*'PY_OPEB Amounts'!$D$323,0)</f>
        <v>6403</v>
      </c>
      <c r="E165" s="122">
        <f>ROUND(VLOOKUP(A165,'[2]Contribution Allocation_Report'!$A$9:$D$310,4,FALSE)*'PY_OPEB Amounts'!$E$323,0)</f>
        <v>87681</v>
      </c>
      <c r="F165" s="122">
        <f>INDEX('[2]Change in Proportion Layers'!$Z$8:$Z$321,MATCH('PY_OPEB Amounts'!A165,'[2]Change in Proportion Layers'!$A$8:$A$321,0))</f>
        <v>75588</v>
      </c>
      <c r="G165" s="122">
        <f t="shared" si="6"/>
        <v>169672</v>
      </c>
      <c r="H165" s="122"/>
      <c r="I165" s="122">
        <f>ROUND(VLOOKUP(A165,'[2]Contribution Allocation_Report'!$A$9:$D$310,4,FALSE)*'PY_OPEB Amounts'!$I$323,0)</f>
        <v>69843</v>
      </c>
      <c r="J165" s="122">
        <f>ROUND(VLOOKUP(A165,'[2]Contribution Allocation_Report'!$A$9:$D$310,4,FALSE)*'PY_OPEB Amounts'!$J$323,0)</f>
        <v>12553</v>
      </c>
      <c r="K165" s="122">
        <f>ROUND(VLOOKUP(A165,'[2]Contribution Allocation_Report'!$A$9:$D$310,4,FALSE)*'PY_OPEB Amounts'!$K$323,0)</f>
        <v>158333</v>
      </c>
      <c r="L165" s="122">
        <f>INDEX('[2]Change in Proportion Layers'!$AA$8:$AA$321,MATCH('PY_OPEB Amounts'!A165,'[2]Change in Proportion Layers'!$A$8:$A$321,0))</f>
        <v>73984</v>
      </c>
      <c r="M165" s="122">
        <f t="shared" si="7"/>
        <v>314713</v>
      </c>
      <c r="N165" s="123"/>
      <c r="O165" s="123">
        <f>ROUND(VLOOKUP(A165,'[2]Contribution Allocation_Report'!$A$9:$D$310,4,FALSE)*'PY_OPEB Amounts'!$O$323,0)</f>
        <v>-47163</v>
      </c>
      <c r="P165" s="123">
        <f>INDEX('[2]Change in Proportion Layers'!$X$8:$X$321,MATCH('PY_OPEB Amounts'!A165,'[2]Change in Proportion Layers'!$A$8:$A$321,0))</f>
        <v>5028</v>
      </c>
      <c r="Q165" s="123">
        <f t="shared" si="8"/>
        <v>-42135</v>
      </c>
    </row>
    <row r="166" spans="1:17" ht="12" customHeight="1">
      <c r="A166" s="164">
        <v>2425</v>
      </c>
      <c r="B166" s="168" t="s">
        <v>155</v>
      </c>
      <c r="C166" s="120">
        <f>ROUND(VLOOKUP(A166,'[2]Contribution Allocation_Report'!$A$9:$D$310,4,FALSE)*'PY_OPEB Amounts'!$C$323,0)</f>
        <v>5733105</v>
      </c>
      <c r="D166" s="120">
        <f>ROUND(VLOOKUP(A166,'[2]Contribution Allocation_Report'!$A$9:$D$310,4,FALSE)*'PY_OPEB Amounts'!$D$323,0)</f>
        <v>83826</v>
      </c>
      <c r="E166" s="120">
        <f>ROUND(VLOOKUP(A166,'[2]Contribution Allocation_Report'!$A$9:$D$310,4,FALSE)*'PY_OPEB Amounts'!$E$323,0)</f>
        <v>1147821</v>
      </c>
      <c r="F166" s="120">
        <f>INDEX('[2]Change in Proportion Layers'!$Z$8:$Z$321,MATCH('PY_OPEB Amounts'!A166,'[2]Change in Proportion Layers'!$A$8:$A$321,0))</f>
        <v>3112898</v>
      </c>
      <c r="G166" s="120">
        <f t="shared" si="6"/>
        <v>4344545</v>
      </c>
      <c r="H166" s="120"/>
      <c r="I166" s="120">
        <f>ROUND(VLOOKUP(A166,'[2]Contribution Allocation_Report'!$A$9:$D$310,4,FALSE)*'PY_OPEB Amounts'!$I$323,0)</f>
        <v>914311</v>
      </c>
      <c r="J166" s="120">
        <f>ROUND(VLOOKUP(A166,'[2]Contribution Allocation_Report'!$A$9:$D$310,4,FALSE)*'PY_OPEB Amounts'!$J$323,0)</f>
        <v>164335</v>
      </c>
      <c r="K166" s="120">
        <f>ROUND(VLOOKUP(A166,'[2]Contribution Allocation_Report'!$A$9:$D$310,4,FALSE)*'PY_OPEB Amounts'!$K$323,0)</f>
        <v>2072721</v>
      </c>
      <c r="L166" s="130">
        <f>INDEX('[2]Change in Proportion Layers'!$AA$8:$AA$321,MATCH('PY_OPEB Amounts'!A166,'[2]Change in Proportion Layers'!$A$8:$A$321,0))</f>
        <v>31951</v>
      </c>
      <c r="M166" s="120">
        <f t="shared" si="7"/>
        <v>3183318</v>
      </c>
      <c r="N166" s="121"/>
      <c r="O166" s="121">
        <f>ROUND(VLOOKUP(A166,'[2]Contribution Allocation_Report'!$A$9:$D$310,4,FALSE)*'PY_OPEB Amounts'!$O$323,0)</f>
        <v>-617407</v>
      </c>
      <c r="P166" s="121">
        <f>INDEX('[2]Change in Proportion Layers'!$X$8:$X$321,MATCH('PY_OPEB Amounts'!A166,'[2]Change in Proportion Layers'!$A$8:$A$321,0))</f>
        <v>810594</v>
      </c>
      <c r="Q166" s="121">
        <f t="shared" si="8"/>
        <v>193187</v>
      </c>
    </row>
    <row r="167" spans="1:17" ht="12" customHeight="1">
      <c r="A167" s="166">
        <v>1306</v>
      </c>
      <c r="B167" s="167" t="s">
        <v>156</v>
      </c>
      <c r="C167" s="122">
        <f>ROUND(VLOOKUP(A167,'[2]Contribution Allocation_Report'!$A$9:$D$310,4,FALSE)*'PY_OPEB Amounts'!$C$323,0)</f>
        <v>1556664</v>
      </c>
      <c r="D167" s="122">
        <f>ROUND(VLOOKUP(A167,'[2]Contribution Allocation_Report'!$A$9:$D$310,4,FALSE)*'PY_OPEB Amounts'!$D$323,0)</f>
        <v>22760</v>
      </c>
      <c r="E167" s="122">
        <f>ROUND(VLOOKUP(A167,'[2]Contribution Allocation_Report'!$A$9:$D$310,4,FALSE)*'PY_OPEB Amounts'!$E$323,0)</f>
        <v>311659</v>
      </c>
      <c r="F167" s="122">
        <f>INDEX('[2]Change in Proportion Layers'!$Z$8:$Z$321,MATCH('PY_OPEB Amounts'!A167,'[2]Change in Proportion Layers'!$A$8:$A$321,0))</f>
        <v>272254</v>
      </c>
      <c r="G167" s="122">
        <f t="shared" si="6"/>
        <v>606673</v>
      </c>
      <c r="H167" s="122"/>
      <c r="I167" s="122">
        <f>ROUND(VLOOKUP(A167,'[2]Contribution Allocation_Report'!$A$9:$D$310,4,FALSE)*'PY_OPEB Amounts'!$I$323,0)</f>
        <v>248256</v>
      </c>
      <c r="J167" s="122">
        <f>ROUND(VLOOKUP(A167,'[2]Contribution Allocation_Report'!$A$9:$D$310,4,FALSE)*'PY_OPEB Amounts'!$J$323,0)</f>
        <v>44620</v>
      </c>
      <c r="K167" s="122">
        <f>ROUND(VLOOKUP(A167,'[2]Contribution Allocation_Report'!$A$9:$D$310,4,FALSE)*'PY_OPEB Amounts'!$K$323,0)</f>
        <v>562789</v>
      </c>
      <c r="L167" s="122">
        <f>INDEX('[2]Change in Proportion Layers'!$AA$8:$AA$321,MATCH('PY_OPEB Amounts'!A167,'[2]Change in Proportion Layers'!$A$8:$A$321,0))</f>
        <v>0</v>
      </c>
      <c r="M167" s="122">
        <f t="shared" si="7"/>
        <v>855665</v>
      </c>
      <c r="N167" s="123"/>
      <c r="O167" s="123">
        <f>ROUND(VLOOKUP(A167,'[2]Contribution Allocation_Report'!$A$9:$D$310,4,FALSE)*'PY_OPEB Amounts'!$O$323,0)</f>
        <v>-167640</v>
      </c>
      <c r="P167" s="123">
        <f>INDEX('[2]Change in Proportion Layers'!$X$8:$X$321,MATCH('PY_OPEB Amounts'!A167,'[2]Change in Proportion Layers'!$A$8:$A$321,0))</f>
        <v>93277</v>
      </c>
      <c r="Q167" s="123">
        <f t="shared" si="8"/>
        <v>-74363</v>
      </c>
    </row>
    <row r="168" spans="1:17" ht="12" customHeight="1">
      <c r="A168" s="164">
        <v>2351</v>
      </c>
      <c r="B168" s="168" t="s">
        <v>157</v>
      </c>
      <c r="C168" s="120">
        <f>ROUND(VLOOKUP(A168,'[2]Contribution Allocation_Report'!$A$9:$D$310,4,FALSE)*'PY_OPEB Amounts'!$C$323,0)</f>
        <v>1234210</v>
      </c>
      <c r="D168" s="120">
        <f>ROUND(VLOOKUP(A168,'[2]Contribution Allocation_Report'!$A$9:$D$310,4,FALSE)*'PY_OPEB Amounts'!$D$323,0)</f>
        <v>18046</v>
      </c>
      <c r="E168" s="120">
        <f>ROUND(VLOOKUP(A168,'[2]Contribution Allocation_Report'!$A$9:$D$310,4,FALSE)*'PY_OPEB Amounts'!$E$323,0)</f>
        <v>247100</v>
      </c>
      <c r="F168" s="120">
        <f>INDEX('[2]Change in Proportion Layers'!$Z$8:$Z$321,MATCH('PY_OPEB Amounts'!A168,'[2]Change in Proportion Layers'!$A$8:$A$321,0))</f>
        <v>96376</v>
      </c>
      <c r="G168" s="120">
        <f t="shared" si="6"/>
        <v>361522</v>
      </c>
      <c r="H168" s="120"/>
      <c r="I168" s="120">
        <f>ROUND(VLOOKUP(A168,'[2]Contribution Allocation_Report'!$A$9:$D$310,4,FALSE)*'PY_OPEB Amounts'!$I$323,0)</f>
        <v>196831</v>
      </c>
      <c r="J168" s="120">
        <f>ROUND(VLOOKUP(A168,'[2]Contribution Allocation_Report'!$A$9:$D$310,4,FALSE)*'PY_OPEB Amounts'!$J$323,0)</f>
        <v>35378</v>
      </c>
      <c r="K168" s="120">
        <f>ROUND(VLOOKUP(A168,'[2]Contribution Allocation_Report'!$A$9:$D$310,4,FALSE)*'PY_OPEB Amounts'!$K$323,0)</f>
        <v>446211</v>
      </c>
      <c r="L168" s="120">
        <f>INDEX('[2]Change in Proportion Layers'!$AA$8:$AA$321,MATCH('PY_OPEB Amounts'!A168,'[2]Change in Proportion Layers'!$A$8:$A$321,0))</f>
        <v>40328</v>
      </c>
      <c r="M168" s="120">
        <f t="shared" si="7"/>
        <v>718748</v>
      </c>
      <c r="N168" s="121"/>
      <c r="O168" s="121">
        <f>ROUND(VLOOKUP(A168,'[2]Contribution Allocation_Report'!$A$9:$D$310,4,FALSE)*'PY_OPEB Amounts'!$O$323,0)</f>
        <v>-132914</v>
      </c>
      <c r="P168" s="121">
        <f>INDEX('[2]Change in Proportion Layers'!$X$8:$X$321,MATCH('PY_OPEB Amounts'!A168,'[2]Change in Proportion Layers'!$A$8:$A$321,0))</f>
        <v>10750</v>
      </c>
      <c r="Q168" s="121">
        <f t="shared" si="8"/>
        <v>-122164</v>
      </c>
    </row>
    <row r="169" spans="1:17" ht="12" customHeight="1">
      <c r="A169" s="166">
        <v>2334</v>
      </c>
      <c r="B169" s="167" t="s">
        <v>158</v>
      </c>
      <c r="C169" s="122">
        <f>ROUND(VLOOKUP(A169,'[2]Contribution Allocation_Report'!$A$9:$D$310,4,FALSE)*'PY_OPEB Amounts'!$C$323,0)</f>
        <v>886420</v>
      </c>
      <c r="D169" s="122">
        <f>ROUND(VLOOKUP(A169,'[2]Contribution Allocation_Report'!$A$9:$D$310,4,FALSE)*'PY_OPEB Amounts'!$D$323,0)</f>
        <v>12961</v>
      </c>
      <c r="E169" s="122">
        <f>ROUND(VLOOKUP(A169,'[2]Contribution Allocation_Report'!$A$9:$D$310,4,FALSE)*'PY_OPEB Amounts'!$E$323,0)</f>
        <v>177470</v>
      </c>
      <c r="F169" s="122">
        <f>INDEX('[2]Change in Proportion Layers'!$Z$8:$Z$321,MATCH('PY_OPEB Amounts'!A169,'[2]Change in Proportion Layers'!$A$8:$A$321,0))</f>
        <v>75952</v>
      </c>
      <c r="G169" s="122">
        <f t="shared" si="6"/>
        <v>266383</v>
      </c>
      <c r="H169" s="122"/>
      <c r="I169" s="122">
        <f>ROUND(VLOOKUP(A169,'[2]Contribution Allocation_Report'!$A$9:$D$310,4,FALSE)*'PY_OPEB Amounts'!$I$323,0)</f>
        <v>141366</v>
      </c>
      <c r="J169" s="122">
        <f>ROUND(VLOOKUP(A169,'[2]Contribution Allocation_Report'!$A$9:$D$310,4,FALSE)*'PY_OPEB Amounts'!$J$323,0)</f>
        <v>25408</v>
      </c>
      <c r="K169" s="122">
        <f>ROUND(VLOOKUP(A169,'[2]Contribution Allocation_Report'!$A$9:$D$310,4,FALSE)*'PY_OPEB Amounts'!$K$323,0)</f>
        <v>320472</v>
      </c>
      <c r="L169" s="122">
        <f>INDEX('[2]Change in Proportion Layers'!$AA$8:$AA$321,MATCH('PY_OPEB Amounts'!A169,'[2]Change in Proportion Layers'!$A$8:$A$321,0))</f>
        <v>43963</v>
      </c>
      <c r="M169" s="122">
        <f t="shared" si="7"/>
        <v>531209</v>
      </c>
      <c r="N169" s="123"/>
      <c r="O169" s="123">
        <f>ROUND(VLOOKUP(A169,'[2]Contribution Allocation_Report'!$A$9:$D$310,4,FALSE)*'PY_OPEB Amounts'!$O$323,0)</f>
        <v>-95460</v>
      </c>
      <c r="P169" s="123">
        <f>INDEX('[2]Change in Proportion Layers'!$X$8:$X$321,MATCH('PY_OPEB Amounts'!A169,'[2]Change in Proportion Layers'!$A$8:$A$321,0))</f>
        <v>17225</v>
      </c>
      <c r="Q169" s="123">
        <f t="shared" si="8"/>
        <v>-78235</v>
      </c>
    </row>
    <row r="170" spans="1:17" ht="12" customHeight="1">
      <c r="A170" s="164">
        <v>30089</v>
      </c>
      <c r="B170" s="168" t="s">
        <v>159</v>
      </c>
      <c r="C170" s="120">
        <f>ROUND(VLOOKUP(A170,'[2]Contribution Allocation_Report'!$A$9:$D$310,4,FALSE)*'PY_OPEB Amounts'!$C$323,0)</f>
        <v>2702693</v>
      </c>
      <c r="D170" s="120">
        <f>ROUND(VLOOKUP(A170,'[2]Contribution Allocation_Report'!$A$9:$D$310,4,FALSE)*'PY_OPEB Amounts'!$D$323,0)</f>
        <v>39517</v>
      </c>
      <c r="E170" s="120">
        <f>ROUND(VLOOKUP(A170,'[2]Contribution Allocation_Report'!$A$9:$D$310,4,FALSE)*'PY_OPEB Amounts'!$E$323,0)</f>
        <v>541104</v>
      </c>
      <c r="F170" s="120">
        <f>INDEX('[2]Change in Proportion Layers'!$Z$8:$Z$321,MATCH('PY_OPEB Amounts'!A170,'[2]Change in Proportion Layers'!$A$8:$A$321,0))</f>
        <v>68644</v>
      </c>
      <c r="G170" s="120">
        <f t="shared" si="6"/>
        <v>649265</v>
      </c>
      <c r="H170" s="120"/>
      <c r="I170" s="120">
        <f>ROUND(VLOOKUP(A170,'[2]Contribution Allocation_Report'!$A$9:$D$310,4,FALSE)*'PY_OPEB Amounts'!$I$323,0)</f>
        <v>431023</v>
      </c>
      <c r="J170" s="120">
        <f>ROUND(VLOOKUP(A170,'[2]Contribution Allocation_Report'!$A$9:$D$310,4,FALSE)*'PY_OPEB Amounts'!$J$323,0)</f>
        <v>77470</v>
      </c>
      <c r="K170" s="120">
        <f>ROUND(VLOOKUP(A170,'[2]Contribution Allocation_Report'!$A$9:$D$310,4,FALSE)*'PY_OPEB Amounts'!$K$323,0)</f>
        <v>977119</v>
      </c>
      <c r="L170" s="130">
        <f>INDEX('[2]Change in Proportion Layers'!$AA$8:$AA$321,MATCH('PY_OPEB Amounts'!A170,'[2]Change in Proportion Layers'!$A$8:$A$321,0))</f>
        <v>290038</v>
      </c>
      <c r="M170" s="120">
        <f t="shared" si="7"/>
        <v>1775650</v>
      </c>
      <c r="N170" s="121"/>
      <c r="O170" s="121">
        <f>ROUND(VLOOKUP(A170,'[2]Contribution Allocation_Report'!$A$9:$D$310,4,FALSE)*'PY_OPEB Amounts'!$O$323,0)</f>
        <v>-291057</v>
      </c>
      <c r="P170" s="121">
        <f>INDEX('[2]Change in Proportion Layers'!$X$8:$X$321,MATCH('PY_OPEB Amounts'!A170,'[2]Change in Proportion Layers'!$A$8:$A$321,0))</f>
        <v>-46718</v>
      </c>
      <c r="Q170" s="121">
        <f t="shared" si="8"/>
        <v>-337775</v>
      </c>
    </row>
    <row r="171" spans="1:17" ht="12" customHeight="1">
      <c r="A171" s="166">
        <v>9324</v>
      </c>
      <c r="B171" s="167" t="s">
        <v>160</v>
      </c>
      <c r="C171" s="122">
        <f>ROUND(VLOOKUP(A171,'[2]Contribution Allocation_Report'!$A$9:$D$310,4,FALSE)*'PY_OPEB Amounts'!$C$323,0)</f>
        <v>390565</v>
      </c>
      <c r="D171" s="122">
        <f>ROUND(VLOOKUP(A171,'[2]Contribution Allocation_Report'!$A$9:$D$310,4,FALSE)*'PY_OPEB Amounts'!$D$323,0)</f>
        <v>5711</v>
      </c>
      <c r="E171" s="122">
        <f>ROUND(VLOOKUP(A171,'[2]Contribution Allocation_Report'!$A$9:$D$310,4,FALSE)*'PY_OPEB Amounts'!$E$323,0)</f>
        <v>78195</v>
      </c>
      <c r="F171" s="122">
        <f>INDEX('[2]Change in Proportion Layers'!$Z$8:$Z$321,MATCH('PY_OPEB Amounts'!A171,'[2]Change in Proportion Layers'!$A$8:$A$321,0))</f>
        <v>103532</v>
      </c>
      <c r="G171" s="122">
        <f t="shared" si="6"/>
        <v>187438</v>
      </c>
      <c r="H171" s="122"/>
      <c r="I171" s="122">
        <f>ROUND(VLOOKUP(A171,'[2]Contribution Allocation_Report'!$A$9:$D$310,4,FALSE)*'PY_OPEB Amounts'!$I$323,0)</f>
        <v>62287</v>
      </c>
      <c r="J171" s="122">
        <f>ROUND(VLOOKUP(A171,'[2]Contribution Allocation_Report'!$A$9:$D$310,4,FALSE)*'PY_OPEB Amounts'!$J$323,0)</f>
        <v>11195</v>
      </c>
      <c r="K171" s="122">
        <f>ROUND(VLOOKUP(A171,'[2]Contribution Allocation_Report'!$A$9:$D$310,4,FALSE)*'PY_OPEB Amounts'!$K$323,0)</f>
        <v>141203</v>
      </c>
      <c r="L171" s="122">
        <f>INDEX('[2]Change in Proportion Layers'!$AA$8:$AA$321,MATCH('PY_OPEB Amounts'!A171,'[2]Change in Proportion Layers'!$A$8:$A$321,0))</f>
        <v>18567</v>
      </c>
      <c r="M171" s="122">
        <f t="shared" si="7"/>
        <v>233252</v>
      </c>
      <c r="N171" s="123"/>
      <c r="O171" s="123">
        <f>ROUND(VLOOKUP(A171,'[2]Contribution Allocation_Report'!$A$9:$D$310,4,FALSE)*'PY_OPEB Amounts'!$O$323,0)</f>
        <v>-42061</v>
      </c>
      <c r="P171" s="123">
        <f>INDEX('[2]Change in Proportion Layers'!$X$8:$X$321,MATCH('PY_OPEB Amounts'!A171,'[2]Change in Proportion Layers'!$A$8:$A$321,0))</f>
        <v>17707</v>
      </c>
      <c r="Q171" s="123">
        <f t="shared" si="8"/>
        <v>-24354</v>
      </c>
    </row>
    <row r="172" spans="1:17" ht="12" customHeight="1">
      <c r="A172" s="164">
        <v>22066</v>
      </c>
      <c r="B172" s="168" t="s">
        <v>161</v>
      </c>
      <c r="C172" s="120">
        <f>ROUND(VLOOKUP(A172,'[2]Contribution Allocation_Report'!$A$9:$D$310,4,FALSE)*'PY_OPEB Amounts'!$C$323,0)</f>
        <v>10416918</v>
      </c>
      <c r="D172" s="120">
        <f>ROUND(VLOOKUP(A172,'[2]Contribution Allocation_Report'!$A$9:$D$310,4,FALSE)*'PY_OPEB Amounts'!$D$323,0)</f>
        <v>152309</v>
      </c>
      <c r="E172" s="120">
        <f>ROUND(VLOOKUP(A172,'[2]Contribution Allocation_Report'!$A$9:$D$310,4,FALSE)*'PY_OPEB Amounts'!$E$323,0)</f>
        <v>2085564</v>
      </c>
      <c r="F172" s="120">
        <f>INDEX('[2]Change in Proportion Layers'!$Z$8:$Z$321,MATCH('PY_OPEB Amounts'!A172,'[2]Change in Proportion Layers'!$A$8:$A$321,0))</f>
        <v>635239</v>
      </c>
      <c r="G172" s="120">
        <f t="shared" si="6"/>
        <v>2873112</v>
      </c>
      <c r="H172" s="120"/>
      <c r="I172" s="120">
        <f>ROUND(VLOOKUP(A172,'[2]Contribution Allocation_Report'!$A$9:$D$310,4,FALSE)*'PY_OPEB Amounts'!$I$323,0)</f>
        <v>1661282</v>
      </c>
      <c r="J172" s="120">
        <f>ROUND(VLOOKUP(A172,'[2]Contribution Allocation_Report'!$A$9:$D$310,4,FALSE)*'PY_OPEB Amounts'!$J$323,0)</f>
        <v>298592</v>
      </c>
      <c r="K172" s="120">
        <f>ROUND(VLOOKUP(A172,'[2]Contribution Allocation_Report'!$A$9:$D$310,4,FALSE)*'PY_OPEB Amounts'!$K$323,0)</f>
        <v>3766085</v>
      </c>
      <c r="L172" s="130">
        <f>INDEX('[2]Change in Proportion Layers'!$AA$8:$AA$321,MATCH('PY_OPEB Amounts'!A172,'[2]Change in Proportion Layers'!$A$8:$A$321,0))</f>
        <v>403261</v>
      </c>
      <c r="M172" s="120">
        <f t="shared" si="7"/>
        <v>6129220</v>
      </c>
      <c r="N172" s="121"/>
      <c r="O172" s="121">
        <f>ROUND(VLOOKUP(A172,'[2]Contribution Allocation_Report'!$A$9:$D$310,4,FALSE)*'PY_OPEB Amounts'!$O$323,0)</f>
        <v>-1121815</v>
      </c>
      <c r="P172" s="121">
        <f>INDEX('[2]Change in Proportion Layers'!$X$8:$X$321,MATCH('PY_OPEB Amounts'!A172,'[2]Change in Proportion Layers'!$A$8:$A$321,0))</f>
        <v>-35294</v>
      </c>
      <c r="Q172" s="121">
        <f t="shared" si="8"/>
        <v>-1157109</v>
      </c>
    </row>
    <row r="173" spans="1:17" ht="12" customHeight="1">
      <c r="A173" s="166">
        <v>16356</v>
      </c>
      <c r="B173" s="167" t="s">
        <v>162</v>
      </c>
      <c r="C173" s="122">
        <f>ROUND(VLOOKUP(A173,'[2]Contribution Allocation_Report'!$A$9:$D$310,4,FALSE)*'PY_OPEB Amounts'!$C$323,0)</f>
        <v>648857</v>
      </c>
      <c r="D173" s="122">
        <f>ROUND(VLOOKUP(A173,'[2]Contribution Allocation_Report'!$A$9:$D$310,4,FALSE)*'PY_OPEB Amounts'!$D$323,0)</f>
        <v>9487</v>
      </c>
      <c r="E173" s="122">
        <f>ROUND(VLOOKUP(A173,'[2]Contribution Allocation_Report'!$A$9:$D$310,4,FALSE)*'PY_OPEB Amounts'!$E$323,0)</f>
        <v>129907</v>
      </c>
      <c r="F173" s="131">
        <f>INDEX('[2]Change in Proportion Layers'!$Z$8:$Z$321,MATCH('PY_OPEB Amounts'!A173,'[2]Change in Proportion Layers'!$A$8:$A$321,0))</f>
        <v>97478</v>
      </c>
      <c r="G173" s="122">
        <f t="shared" si="6"/>
        <v>236872</v>
      </c>
      <c r="H173" s="122"/>
      <c r="I173" s="122">
        <f>ROUND(VLOOKUP(A173,'[2]Contribution Allocation_Report'!$A$9:$D$310,4,FALSE)*'PY_OPEB Amounts'!$I$323,0)</f>
        <v>103479</v>
      </c>
      <c r="J173" s="122">
        <f>ROUND(VLOOKUP(A173,'[2]Contribution Allocation_Report'!$A$9:$D$310,4,FALSE)*'PY_OPEB Amounts'!$J$323,0)</f>
        <v>18599</v>
      </c>
      <c r="K173" s="122">
        <f>ROUND(VLOOKUP(A173,'[2]Contribution Allocation_Report'!$A$9:$D$310,4,FALSE)*'PY_OPEB Amounts'!$K$323,0)</f>
        <v>234585</v>
      </c>
      <c r="L173" s="122">
        <f>INDEX('[2]Change in Proportion Layers'!$AA$8:$AA$321,MATCH('PY_OPEB Amounts'!A173,'[2]Change in Proportion Layers'!$A$8:$A$321,0))</f>
        <v>32016</v>
      </c>
      <c r="M173" s="122">
        <f t="shared" si="7"/>
        <v>388679</v>
      </c>
      <c r="N173" s="123"/>
      <c r="O173" s="123">
        <f>ROUND(VLOOKUP(A173,'[2]Contribution Allocation_Report'!$A$9:$D$310,4,FALSE)*'PY_OPEB Amounts'!$O$323,0)</f>
        <v>-69876</v>
      </c>
      <c r="P173" s="123">
        <f>INDEX('[2]Change in Proportion Layers'!$X$8:$X$321,MATCH('PY_OPEB Amounts'!A173,'[2]Change in Proportion Layers'!$A$8:$A$321,0))</f>
        <v>13949</v>
      </c>
      <c r="Q173" s="123">
        <f t="shared" si="8"/>
        <v>-55927</v>
      </c>
    </row>
    <row r="174" spans="1:17" ht="12" customHeight="1">
      <c r="A174" s="164">
        <v>31091</v>
      </c>
      <c r="B174" s="168" t="s">
        <v>163</v>
      </c>
      <c r="C174" s="120">
        <f>ROUND(VLOOKUP(A174,'[2]Contribution Allocation_Report'!$A$9:$D$310,4,FALSE)*'PY_OPEB Amounts'!$C$323,0)</f>
        <v>616941</v>
      </c>
      <c r="D174" s="120">
        <f>ROUND(VLOOKUP(A174,'[2]Contribution Allocation_Report'!$A$9:$D$310,4,FALSE)*'PY_OPEB Amounts'!$D$323,0)</f>
        <v>9020</v>
      </c>
      <c r="E174" s="120">
        <f>ROUND(VLOOKUP(A174,'[2]Contribution Allocation_Report'!$A$9:$D$310,4,FALSE)*'PY_OPEB Amounts'!$E$323,0)</f>
        <v>123517</v>
      </c>
      <c r="F174" s="120">
        <f>INDEX('[2]Change in Proportion Layers'!$Z$8:$Z$321,MATCH('PY_OPEB Amounts'!A174,'[2]Change in Proportion Layers'!$A$8:$A$321,0))</f>
        <v>193675</v>
      </c>
      <c r="G174" s="120">
        <f t="shared" si="6"/>
        <v>326212</v>
      </c>
      <c r="H174" s="120"/>
      <c r="I174" s="120">
        <f>ROUND(VLOOKUP(A174,'[2]Contribution Allocation_Report'!$A$9:$D$310,4,FALSE)*'PY_OPEB Amounts'!$I$323,0)</f>
        <v>98389</v>
      </c>
      <c r="J174" s="120">
        <f>ROUND(VLOOKUP(A174,'[2]Contribution Allocation_Report'!$A$9:$D$310,4,FALSE)*'PY_OPEB Amounts'!$J$323,0)</f>
        <v>17684</v>
      </c>
      <c r="K174" s="120">
        <f>ROUND(VLOOKUP(A174,'[2]Contribution Allocation_Report'!$A$9:$D$310,4,FALSE)*'PY_OPEB Amounts'!$K$323,0)</f>
        <v>223046</v>
      </c>
      <c r="L174" s="130">
        <f>INDEX('[2]Change in Proportion Layers'!$AA$8:$AA$321,MATCH('PY_OPEB Amounts'!A174,'[2]Change in Proportion Layers'!$A$8:$A$321,0))</f>
        <v>83012</v>
      </c>
      <c r="M174" s="120">
        <f t="shared" si="7"/>
        <v>422131</v>
      </c>
      <c r="N174" s="121"/>
      <c r="O174" s="121">
        <f>ROUND(VLOOKUP(A174,'[2]Contribution Allocation_Report'!$A$9:$D$310,4,FALSE)*'PY_OPEB Amounts'!$O$323,0)</f>
        <v>-66439</v>
      </c>
      <c r="P174" s="121">
        <f>INDEX('[2]Change in Proportion Layers'!$X$8:$X$321,MATCH('PY_OPEB Amounts'!A174,'[2]Change in Proportion Layers'!$A$8:$A$321,0))</f>
        <v>12960</v>
      </c>
      <c r="Q174" s="121">
        <f t="shared" si="8"/>
        <v>-53479</v>
      </c>
    </row>
    <row r="175" spans="1:17" ht="12" customHeight="1">
      <c r="A175" s="166">
        <v>2342</v>
      </c>
      <c r="B175" s="167" t="s">
        <v>164</v>
      </c>
      <c r="C175" s="122">
        <f>ROUND(VLOOKUP(A175,'[2]Contribution Allocation_Report'!$A$9:$D$310,4,FALSE)*'PY_OPEB Amounts'!$C$323,0)</f>
        <v>981182</v>
      </c>
      <c r="D175" s="122">
        <f>ROUND(VLOOKUP(A175,'[2]Contribution Allocation_Report'!$A$9:$D$310,4,FALSE)*'PY_OPEB Amounts'!$D$323,0)</f>
        <v>14346</v>
      </c>
      <c r="E175" s="122">
        <f>ROUND(VLOOKUP(A175,'[2]Contribution Allocation_Report'!$A$9:$D$310,4,FALSE)*'PY_OPEB Amounts'!$E$323,0)</f>
        <v>196442</v>
      </c>
      <c r="F175" s="131">
        <f>INDEX('[2]Change in Proportion Layers'!$Z$8:$Z$321,MATCH('PY_OPEB Amounts'!A175,'[2]Change in Proportion Layers'!$A$8:$A$321,0))</f>
        <v>220004</v>
      </c>
      <c r="G175" s="122">
        <f t="shared" si="6"/>
        <v>430792</v>
      </c>
      <c r="H175" s="122"/>
      <c r="I175" s="122">
        <f>ROUND(VLOOKUP(A175,'[2]Contribution Allocation_Report'!$A$9:$D$310,4,FALSE)*'PY_OPEB Amounts'!$I$323,0)</f>
        <v>156478</v>
      </c>
      <c r="J175" s="122">
        <f>ROUND(VLOOKUP(A175,'[2]Contribution Allocation_Report'!$A$9:$D$310,4,FALSE)*'PY_OPEB Amounts'!$J$323,0)</f>
        <v>28125</v>
      </c>
      <c r="K175" s="122">
        <f>ROUND(VLOOKUP(A175,'[2]Contribution Allocation_Report'!$A$9:$D$310,4,FALSE)*'PY_OPEB Amounts'!$K$323,0)</f>
        <v>354732</v>
      </c>
      <c r="L175" s="122">
        <f>INDEX('[2]Change in Proportion Layers'!$AA$8:$AA$321,MATCH('PY_OPEB Amounts'!A175,'[2]Change in Proportion Layers'!$A$8:$A$321,0))</f>
        <v>0</v>
      </c>
      <c r="M175" s="122">
        <f t="shared" si="7"/>
        <v>539335</v>
      </c>
      <c r="N175" s="123"/>
      <c r="O175" s="123">
        <f>ROUND(VLOOKUP(A175,'[2]Contribution Allocation_Report'!$A$9:$D$310,4,FALSE)*'PY_OPEB Amounts'!$O$323,0)</f>
        <v>-105665</v>
      </c>
      <c r="P175" s="123">
        <f>INDEX('[2]Change in Proportion Layers'!$X$8:$X$321,MATCH('PY_OPEB Amounts'!A175,'[2]Change in Proportion Layers'!$A$8:$A$321,0))</f>
        <v>47424</v>
      </c>
      <c r="Q175" s="123">
        <f t="shared" si="8"/>
        <v>-58241</v>
      </c>
    </row>
    <row r="176" spans="1:17" ht="12" customHeight="1">
      <c r="A176" s="164">
        <v>22067</v>
      </c>
      <c r="B176" s="168" t="s">
        <v>165</v>
      </c>
      <c r="C176" s="120">
        <f>ROUND(VLOOKUP(A176,'[2]Contribution Allocation_Report'!$A$9:$D$310,4,FALSE)*'PY_OPEB Amounts'!$C$323,0)</f>
        <v>1451373</v>
      </c>
      <c r="D176" s="120">
        <f>ROUND(VLOOKUP(A176,'[2]Contribution Allocation_Report'!$A$9:$D$310,4,FALSE)*'PY_OPEB Amounts'!$D$323,0)</f>
        <v>21221</v>
      </c>
      <c r="E176" s="120">
        <f>ROUND(VLOOKUP(A176,'[2]Contribution Allocation_Report'!$A$9:$D$310,4,FALSE)*'PY_OPEB Amounts'!$E$323,0)</f>
        <v>290578</v>
      </c>
      <c r="F176" s="120">
        <f>INDEX('[2]Change in Proportion Layers'!$Z$8:$Z$321,MATCH('PY_OPEB Amounts'!A176,'[2]Change in Proportion Layers'!$A$8:$A$321,0))</f>
        <v>400505</v>
      </c>
      <c r="G176" s="120">
        <f t="shared" si="6"/>
        <v>712304</v>
      </c>
      <c r="H176" s="120"/>
      <c r="I176" s="120">
        <f>ROUND(VLOOKUP(A176,'[2]Contribution Allocation_Report'!$A$9:$D$310,4,FALSE)*'PY_OPEB Amounts'!$I$323,0)</f>
        <v>231464</v>
      </c>
      <c r="J176" s="120">
        <f>ROUND(VLOOKUP(A176,'[2]Contribution Allocation_Report'!$A$9:$D$310,4,FALSE)*'PY_OPEB Amounts'!$J$323,0)</f>
        <v>41602</v>
      </c>
      <c r="K176" s="120">
        <f>ROUND(VLOOKUP(A176,'[2]Contribution Allocation_Report'!$A$9:$D$310,4,FALSE)*'PY_OPEB Amounts'!$K$323,0)</f>
        <v>524723</v>
      </c>
      <c r="L176" s="120">
        <f>INDEX('[2]Change in Proportion Layers'!$AA$8:$AA$321,MATCH('PY_OPEB Amounts'!A176,'[2]Change in Proportion Layers'!$A$8:$A$321,0))</f>
        <v>352244</v>
      </c>
      <c r="M176" s="120">
        <f t="shared" si="7"/>
        <v>1150033</v>
      </c>
      <c r="N176" s="121"/>
      <c r="O176" s="121">
        <f>ROUND(VLOOKUP(A176,'[2]Contribution Allocation_Report'!$A$9:$D$310,4,FALSE)*'PY_OPEB Amounts'!$O$323,0)</f>
        <v>-156301</v>
      </c>
      <c r="P176" s="121">
        <f>INDEX('[2]Change in Proportion Layers'!$X$8:$X$321,MATCH('PY_OPEB Amounts'!A176,'[2]Change in Proportion Layers'!$A$8:$A$321,0))</f>
        <v>15780</v>
      </c>
      <c r="Q176" s="121">
        <f t="shared" si="8"/>
        <v>-140521</v>
      </c>
    </row>
    <row r="177" spans="1:17" ht="12" customHeight="1">
      <c r="A177" s="166">
        <v>32112</v>
      </c>
      <c r="B177" s="167" t="s">
        <v>166</v>
      </c>
      <c r="C177" s="122">
        <f>ROUND(VLOOKUP(A177,'[2]Contribution Allocation_Report'!$A$9:$D$310,4,FALSE)*'PY_OPEB Amounts'!$C$323,0)</f>
        <v>857465</v>
      </c>
      <c r="D177" s="122">
        <f>ROUND(VLOOKUP(A177,'[2]Contribution Allocation_Report'!$A$9:$D$310,4,FALSE)*'PY_OPEB Amounts'!$D$323,0)</f>
        <v>12537</v>
      </c>
      <c r="E177" s="122">
        <f>ROUND(VLOOKUP(A177,'[2]Contribution Allocation_Report'!$A$9:$D$310,4,FALSE)*'PY_OPEB Amounts'!$E$323,0)</f>
        <v>171672</v>
      </c>
      <c r="F177" s="122">
        <f>INDEX('[2]Change in Proportion Layers'!$Z$8:$Z$321,MATCH('PY_OPEB Amounts'!A177,'[2]Change in Proportion Layers'!$A$8:$A$321,0))</f>
        <v>51222</v>
      </c>
      <c r="G177" s="122">
        <f t="shared" si="6"/>
        <v>235431</v>
      </c>
      <c r="H177" s="122"/>
      <c r="I177" s="122">
        <f>ROUND(VLOOKUP(A177,'[2]Contribution Allocation_Report'!$A$9:$D$310,4,FALSE)*'PY_OPEB Amounts'!$I$323,0)</f>
        <v>136748</v>
      </c>
      <c r="J177" s="122">
        <f>ROUND(VLOOKUP(A177,'[2]Contribution Allocation_Report'!$A$9:$D$310,4,FALSE)*'PY_OPEB Amounts'!$J$323,0)</f>
        <v>24579</v>
      </c>
      <c r="K177" s="122">
        <f>ROUND(VLOOKUP(A177,'[2]Contribution Allocation_Report'!$A$9:$D$310,4,FALSE)*'PY_OPEB Amounts'!$K$323,0)</f>
        <v>310004</v>
      </c>
      <c r="L177" s="122">
        <f>INDEX('[2]Change in Proportion Layers'!$AA$8:$AA$321,MATCH('PY_OPEB Amounts'!A177,'[2]Change in Proportion Layers'!$A$8:$A$321,0))</f>
        <v>75144</v>
      </c>
      <c r="M177" s="122">
        <f t="shared" si="7"/>
        <v>546475</v>
      </c>
      <c r="N177" s="123"/>
      <c r="O177" s="123">
        <f>ROUND(VLOOKUP(A177,'[2]Contribution Allocation_Report'!$A$9:$D$310,4,FALSE)*'PY_OPEB Amounts'!$O$323,0)</f>
        <v>-92342</v>
      </c>
      <c r="P177" s="123">
        <f>INDEX('[2]Change in Proportion Layers'!$X$8:$X$321,MATCH('PY_OPEB Amounts'!A177,'[2]Change in Proportion Layers'!$A$8:$A$321,0))</f>
        <v>-18231</v>
      </c>
      <c r="Q177" s="123">
        <f t="shared" si="8"/>
        <v>-110573</v>
      </c>
    </row>
    <row r="178" spans="1:17" ht="12" customHeight="1">
      <c r="A178" s="164">
        <v>2354</v>
      </c>
      <c r="B178" s="168" t="s">
        <v>167</v>
      </c>
      <c r="C178" s="120">
        <f>ROUND(VLOOKUP(A178,'[2]Contribution Allocation_Report'!$A$9:$D$310,4,FALSE)*'PY_OPEB Amounts'!$C$323,0)</f>
        <v>2236451</v>
      </c>
      <c r="D178" s="120">
        <f>ROUND(VLOOKUP(A178,'[2]Contribution Allocation_Report'!$A$9:$D$310,4,FALSE)*'PY_OPEB Amounts'!$D$323,0)</f>
        <v>32700</v>
      </c>
      <c r="E178" s="120">
        <f>ROUND(VLOOKUP(A178,'[2]Contribution Allocation_Report'!$A$9:$D$310,4,FALSE)*'PY_OPEB Amounts'!$E$323,0)</f>
        <v>447758</v>
      </c>
      <c r="F178" s="120">
        <f>INDEX('[2]Change in Proportion Layers'!$Z$8:$Z$321,MATCH('PY_OPEB Amounts'!A178,'[2]Change in Proportion Layers'!$A$8:$A$321,0))</f>
        <v>82287</v>
      </c>
      <c r="G178" s="120">
        <f t="shared" si="6"/>
        <v>562745</v>
      </c>
      <c r="H178" s="120"/>
      <c r="I178" s="120">
        <f>ROUND(VLOOKUP(A178,'[2]Contribution Allocation_Report'!$A$9:$D$310,4,FALSE)*'PY_OPEB Amounts'!$I$323,0)</f>
        <v>356667</v>
      </c>
      <c r="J178" s="120">
        <f>ROUND(VLOOKUP(A178,'[2]Contribution Allocation_Report'!$A$9:$D$310,4,FALSE)*'PY_OPEB Amounts'!$J$323,0)</f>
        <v>64106</v>
      </c>
      <c r="K178" s="120">
        <f>ROUND(VLOOKUP(A178,'[2]Contribution Allocation_Report'!$A$9:$D$310,4,FALSE)*'PY_OPEB Amounts'!$K$323,0)</f>
        <v>808556</v>
      </c>
      <c r="L178" s="120">
        <f>INDEX('[2]Change in Proportion Layers'!$AA$8:$AA$321,MATCH('PY_OPEB Amounts'!A178,'[2]Change in Proportion Layers'!$A$8:$A$321,0))</f>
        <v>32079</v>
      </c>
      <c r="M178" s="120">
        <f t="shared" si="7"/>
        <v>1261408</v>
      </c>
      <c r="N178" s="121"/>
      <c r="O178" s="121">
        <f>ROUND(VLOOKUP(A178,'[2]Contribution Allocation_Report'!$A$9:$D$310,4,FALSE)*'PY_OPEB Amounts'!$O$323,0)</f>
        <v>-240847</v>
      </c>
      <c r="P178" s="121">
        <f>INDEX('[2]Change in Proportion Layers'!$X$8:$X$321,MATCH('PY_OPEB Amounts'!A178,'[2]Change in Proportion Layers'!$A$8:$A$321,0))</f>
        <v>34672</v>
      </c>
      <c r="Q178" s="121">
        <f t="shared" si="8"/>
        <v>-206175</v>
      </c>
    </row>
    <row r="179" spans="1:17" ht="12" customHeight="1">
      <c r="A179" s="166">
        <v>2148</v>
      </c>
      <c r="B179" s="167" t="s">
        <v>168</v>
      </c>
      <c r="C179" s="122">
        <f>ROUND(VLOOKUP(A179,'[2]Contribution Allocation_Report'!$A$9:$D$310,4,FALSE)*'PY_OPEB Amounts'!$C$323,0)</f>
        <v>796923</v>
      </c>
      <c r="D179" s="122">
        <f>ROUND(VLOOKUP(A179,'[2]Contribution Allocation_Report'!$A$9:$D$310,4,FALSE)*'PY_OPEB Amounts'!$D$323,0)</f>
        <v>11652</v>
      </c>
      <c r="E179" s="122">
        <f>ROUND(VLOOKUP(A179,'[2]Contribution Allocation_Report'!$A$9:$D$310,4,FALSE)*'PY_OPEB Amounts'!$E$323,0)</f>
        <v>159551</v>
      </c>
      <c r="F179" s="122">
        <f>INDEX('[2]Change in Proportion Layers'!$Z$8:$Z$321,MATCH('PY_OPEB Amounts'!A179,'[2]Change in Proportion Layers'!$A$8:$A$321,0))</f>
        <v>15625</v>
      </c>
      <c r="G179" s="122">
        <f t="shared" si="6"/>
        <v>186828</v>
      </c>
      <c r="H179" s="122"/>
      <c r="I179" s="122">
        <f>ROUND(VLOOKUP(A179,'[2]Contribution Allocation_Report'!$A$9:$D$310,4,FALSE)*'PY_OPEB Amounts'!$I$323,0)</f>
        <v>127093</v>
      </c>
      <c r="J179" s="122">
        <f>ROUND(VLOOKUP(A179,'[2]Contribution Allocation_Report'!$A$9:$D$310,4,FALSE)*'PY_OPEB Amounts'!$J$323,0)</f>
        <v>22843</v>
      </c>
      <c r="K179" s="122">
        <f>ROUND(VLOOKUP(A179,'[2]Contribution Allocation_Report'!$A$9:$D$310,4,FALSE)*'PY_OPEB Amounts'!$K$323,0)</f>
        <v>288116</v>
      </c>
      <c r="L179" s="122">
        <f>INDEX('[2]Change in Proportion Layers'!$AA$8:$AA$321,MATCH('PY_OPEB Amounts'!A179,'[2]Change in Proportion Layers'!$A$8:$A$321,0))</f>
        <v>57229</v>
      </c>
      <c r="M179" s="122">
        <f t="shared" si="7"/>
        <v>495281</v>
      </c>
      <c r="N179" s="123"/>
      <c r="O179" s="123">
        <f>ROUND(VLOOKUP(A179,'[2]Contribution Allocation_Report'!$A$9:$D$310,4,FALSE)*'PY_OPEB Amounts'!$O$323,0)</f>
        <v>-85822</v>
      </c>
      <c r="P179" s="123">
        <f>INDEX('[2]Change in Proportion Layers'!$X$8:$X$321,MATCH('PY_OPEB Amounts'!A179,'[2]Change in Proportion Layers'!$A$8:$A$321,0))</f>
        <v>-13170</v>
      </c>
      <c r="Q179" s="123">
        <f t="shared" si="8"/>
        <v>-98992</v>
      </c>
    </row>
    <row r="180" spans="1:17" ht="12" customHeight="1">
      <c r="A180" s="164">
        <v>1418</v>
      </c>
      <c r="B180" s="168" t="s">
        <v>169</v>
      </c>
      <c r="C180" s="120">
        <f>ROUND(VLOOKUP(A180,'[2]Contribution Allocation_Report'!$A$9:$D$310,4,FALSE)*'PY_OPEB Amounts'!$C$323,0)</f>
        <v>3074503</v>
      </c>
      <c r="D180" s="120">
        <f>ROUND(VLOOKUP(A180,'[2]Contribution Allocation_Report'!$A$9:$D$310,4,FALSE)*'PY_OPEB Amounts'!$D$323,0)</f>
        <v>44953</v>
      </c>
      <c r="E180" s="120">
        <f>ROUND(VLOOKUP(A180,'[2]Contribution Allocation_Report'!$A$9:$D$310,4,FALSE)*'PY_OPEB Amounts'!$E$323,0)</f>
        <v>615544</v>
      </c>
      <c r="F180" s="120">
        <f>INDEX('[2]Change in Proportion Layers'!$Z$8:$Z$321,MATCH('PY_OPEB Amounts'!A180,'[2]Change in Proportion Layers'!$A$8:$A$321,0))</f>
        <v>1711500</v>
      </c>
      <c r="G180" s="120">
        <f t="shared" si="6"/>
        <v>2371997</v>
      </c>
      <c r="H180" s="120"/>
      <c r="I180" s="120">
        <f>ROUND(VLOOKUP(A180,'[2]Contribution Allocation_Report'!$A$9:$D$310,4,FALSE)*'PY_OPEB Amounts'!$I$323,0)</f>
        <v>490319</v>
      </c>
      <c r="J180" s="120">
        <f>ROUND(VLOOKUP(A180,'[2]Contribution Allocation_Report'!$A$9:$D$310,4,FALSE)*'PY_OPEB Amounts'!$J$323,0)</f>
        <v>88128</v>
      </c>
      <c r="K180" s="120">
        <f>ROUND(VLOOKUP(A180,'[2]Contribution Allocation_Report'!$A$9:$D$310,4,FALSE)*'PY_OPEB Amounts'!$K$323,0)</f>
        <v>1111542</v>
      </c>
      <c r="L180" s="120">
        <f>INDEX('[2]Change in Proportion Layers'!$AA$8:$AA$321,MATCH('PY_OPEB Amounts'!A180,'[2]Change in Proportion Layers'!$A$8:$A$321,0))</f>
        <v>566305</v>
      </c>
      <c r="M180" s="120">
        <f t="shared" si="7"/>
        <v>2256294</v>
      </c>
      <c r="N180" s="121"/>
      <c r="O180" s="121">
        <f>ROUND(VLOOKUP(A180,'[2]Contribution Allocation_Report'!$A$9:$D$310,4,FALSE)*'PY_OPEB Amounts'!$O$323,0)</f>
        <v>-331098</v>
      </c>
      <c r="P180" s="121">
        <f>INDEX('[2]Change in Proportion Layers'!$X$8:$X$321,MATCH('PY_OPEB Amounts'!A180,'[2]Change in Proportion Layers'!$A$8:$A$321,0))</f>
        <v>230382</v>
      </c>
      <c r="Q180" s="121">
        <f t="shared" si="8"/>
        <v>-100716</v>
      </c>
    </row>
    <row r="181" spans="1:17" ht="12" customHeight="1">
      <c r="A181" s="166">
        <v>12102</v>
      </c>
      <c r="B181" s="167" t="s">
        <v>170</v>
      </c>
      <c r="C181" s="122">
        <f>ROUND(VLOOKUP(A181,'[2]Contribution Allocation_Report'!$A$9:$D$310,4,FALSE)*'PY_OPEB Amounts'!$C$323,0)</f>
        <v>17423389</v>
      </c>
      <c r="D181" s="122">
        <f>ROUND(VLOOKUP(A181,'[2]Contribution Allocation_Report'!$A$9:$D$310,4,FALSE)*'PY_OPEB Amounts'!$D$323,0)</f>
        <v>254753</v>
      </c>
      <c r="E181" s="122">
        <f>ROUND(VLOOKUP(A181,'[2]Contribution Allocation_Report'!$A$9:$D$310,4,FALSE)*'PY_OPEB Amounts'!$E$323,0)</f>
        <v>3488324</v>
      </c>
      <c r="F181" s="122">
        <f>INDEX('[2]Change in Proportion Layers'!$Z$8:$Z$321,MATCH('PY_OPEB Amounts'!A181,'[2]Change in Proportion Layers'!$A$8:$A$321,0))</f>
        <v>1517722</v>
      </c>
      <c r="G181" s="122">
        <f t="shared" si="6"/>
        <v>5260799</v>
      </c>
      <c r="H181" s="122"/>
      <c r="I181" s="122">
        <f>ROUND(VLOOKUP(A181,'[2]Contribution Allocation_Report'!$A$9:$D$310,4,FALSE)*'PY_OPEB Amounts'!$I$323,0)</f>
        <v>2778668</v>
      </c>
      <c r="J181" s="122">
        <f>ROUND(VLOOKUP(A181,'[2]Contribution Allocation_Report'!$A$9:$D$310,4,FALSE)*'PY_OPEB Amounts'!$J$323,0)</f>
        <v>499427</v>
      </c>
      <c r="K181" s="122">
        <f>ROUND(VLOOKUP(A181,'[2]Contribution Allocation_Report'!$A$9:$D$310,4,FALSE)*'PY_OPEB Amounts'!$K$323,0)</f>
        <v>6299173</v>
      </c>
      <c r="L181" s="131">
        <f>INDEX('[2]Change in Proportion Layers'!$AA$8:$AA$321,MATCH('PY_OPEB Amounts'!A181,'[2]Change in Proportion Layers'!$A$8:$A$321,0))</f>
        <v>2056826</v>
      </c>
      <c r="M181" s="122">
        <f t="shared" si="7"/>
        <v>11634094</v>
      </c>
      <c r="N181" s="123"/>
      <c r="O181" s="123">
        <f>ROUND(VLOOKUP(A181,'[2]Contribution Allocation_Report'!$A$9:$D$310,4,FALSE)*'PY_OPEB Amounts'!$O$323,0)</f>
        <v>-1876353</v>
      </c>
      <c r="P181" s="123">
        <f>INDEX('[2]Change in Proportion Layers'!$X$8:$X$321,MATCH('PY_OPEB Amounts'!A181,'[2]Change in Proportion Layers'!$A$8:$A$321,0))</f>
        <v>-420668</v>
      </c>
      <c r="Q181" s="123">
        <f t="shared" si="8"/>
        <v>-2297021</v>
      </c>
    </row>
    <row r="182" spans="1:17" ht="12" customHeight="1">
      <c r="A182" s="164">
        <v>2414</v>
      </c>
      <c r="B182" s="168" t="s">
        <v>171</v>
      </c>
      <c r="C182" s="120">
        <f>ROUND(VLOOKUP(A182,'[2]Contribution Allocation_Report'!$A$9:$D$310,4,FALSE)*'PY_OPEB Amounts'!$C$323,0)</f>
        <v>1321734</v>
      </c>
      <c r="D182" s="120">
        <f>ROUND(VLOOKUP(A182,'[2]Contribution Allocation_Report'!$A$9:$D$310,4,FALSE)*'PY_OPEB Amounts'!$D$323,0)</f>
        <v>19325</v>
      </c>
      <c r="E182" s="120">
        <f>ROUND(VLOOKUP(A182,'[2]Contribution Allocation_Report'!$A$9:$D$310,4,FALSE)*'PY_OPEB Amounts'!$E$323,0)</f>
        <v>264623</v>
      </c>
      <c r="F182" s="120">
        <f>INDEX('[2]Change in Proportion Layers'!$Z$8:$Z$321,MATCH('PY_OPEB Amounts'!A182,'[2]Change in Proportion Layers'!$A$8:$A$321,0))</f>
        <v>744597</v>
      </c>
      <c r="G182" s="120">
        <f t="shared" si="6"/>
        <v>1028545</v>
      </c>
      <c r="H182" s="120"/>
      <c r="I182" s="120">
        <f>ROUND(VLOOKUP(A182,'[2]Contribution Allocation_Report'!$A$9:$D$310,4,FALSE)*'PY_OPEB Amounts'!$I$323,0)</f>
        <v>210789</v>
      </c>
      <c r="J182" s="120">
        <f>ROUND(VLOOKUP(A182,'[2]Contribution Allocation_Report'!$A$9:$D$310,4,FALSE)*'PY_OPEB Amounts'!$J$323,0)</f>
        <v>37886</v>
      </c>
      <c r="K182" s="120">
        <f>ROUND(VLOOKUP(A182,'[2]Contribution Allocation_Report'!$A$9:$D$310,4,FALSE)*'PY_OPEB Amounts'!$K$323,0)</f>
        <v>477854</v>
      </c>
      <c r="L182" s="130">
        <f>INDEX('[2]Change in Proportion Layers'!$AA$8:$AA$321,MATCH('PY_OPEB Amounts'!A182,'[2]Change in Proportion Layers'!$A$8:$A$321,0))</f>
        <v>29943</v>
      </c>
      <c r="M182" s="120">
        <f t="shared" si="7"/>
        <v>756472</v>
      </c>
      <c r="N182" s="121"/>
      <c r="O182" s="121">
        <f>ROUND(VLOOKUP(A182,'[2]Contribution Allocation_Report'!$A$9:$D$310,4,FALSE)*'PY_OPEB Amounts'!$O$323,0)</f>
        <v>-142340</v>
      </c>
      <c r="P182" s="121">
        <f>INDEX('[2]Change in Proportion Layers'!$X$8:$X$321,MATCH('PY_OPEB Amounts'!A182,'[2]Change in Proportion Layers'!$A$8:$A$321,0))</f>
        <v>177638</v>
      </c>
      <c r="Q182" s="121">
        <f t="shared" si="8"/>
        <v>35298</v>
      </c>
    </row>
    <row r="183" spans="1:17" ht="12" customHeight="1">
      <c r="A183" s="166">
        <v>6124</v>
      </c>
      <c r="B183" s="167" t="s">
        <v>172</v>
      </c>
      <c r="C183" s="122">
        <f>ROUND(VLOOKUP(A183,'[2]Contribution Allocation_Report'!$A$9:$D$310,4,FALSE)*'PY_OPEB Amounts'!$C$323,0)</f>
        <v>8195932</v>
      </c>
      <c r="D183" s="122">
        <f>ROUND(VLOOKUP(A183,'[2]Contribution Allocation_Report'!$A$9:$D$310,4,FALSE)*'PY_OPEB Amounts'!$D$323,0)</f>
        <v>119835</v>
      </c>
      <c r="E183" s="122">
        <f>ROUND(VLOOKUP(A183,'[2]Contribution Allocation_Report'!$A$9:$D$310,4,FALSE)*'PY_OPEB Amounts'!$E$323,0)</f>
        <v>1640902</v>
      </c>
      <c r="F183" s="122">
        <f>INDEX('[2]Change in Proportion Layers'!$Z$8:$Z$321,MATCH('PY_OPEB Amounts'!A183,'[2]Change in Proportion Layers'!$A$8:$A$321,0))</f>
        <v>0</v>
      </c>
      <c r="G183" s="122">
        <f t="shared" si="6"/>
        <v>1760737</v>
      </c>
      <c r="H183" s="122"/>
      <c r="I183" s="122">
        <f>ROUND(VLOOKUP(A183,'[2]Contribution Allocation_Report'!$A$9:$D$310,4,FALSE)*'PY_OPEB Amounts'!$I$323,0)</f>
        <v>1307081</v>
      </c>
      <c r="J183" s="122">
        <f>ROUND(VLOOKUP(A183,'[2]Contribution Allocation_Report'!$A$9:$D$310,4,FALSE)*'PY_OPEB Amounts'!$J$323,0)</f>
        <v>234929</v>
      </c>
      <c r="K183" s="122">
        <f>ROUND(VLOOKUP(A183,'[2]Contribution Allocation_Report'!$A$9:$D$310,4,FALSE)*'PY_OPEB Amounts'!$K$323,0)</f>
        <v>2963120</v>
      </c>
      <c r="L183" s="122">
        <f>INDEX('[2]Change in Proportion Layers'!$AA$8:$AA$321,MATCH('PY_OPEB Amounts'!A183,'[2]Change in Proportion Layers'!$A$8:$A$321,0))</f>
        <v>1976334</v>
      </c>
      <c r="M183" s="122">
        <f t="shared" si="7"/>
        <v>6481464</v>
      </c>
      <c r="N183" s="123"/>
      <c r="O183" s="123">
        <f>ROUND(VLOOKUP(A183,'[2]Contribution Allocation_Report'!$A$9:$D$310,4,FALSE)*'PY_OPEB Amounts'!$O$323,0)</f>
        <v>-882633</v>
      </c>
      <c r="P183" s="123">
        <f>INDEX('[2]Change in Proportion Layers'!$X$8:$X$321,MATCH('PY_OPEB Amounts'!A183,'[2]Change in Proportion Layers'!$A$8:$A$321,0))</f>
        <v>-593954</v>
      </c>
      <c r="Q183" s="123">
        <f t="shared" si="8"/>
        <v>-1476587</v>
      </c>
    </row>
    <row r="184" spans="1:17" ht="12" customHeight="1">
      <c r="A184" s="164">
        <v>4097</v>
      </c>
      <c r="B184" s="168" t="s">
        <v>173</v>
      </c>
      <c r="C184" s="120">
        <f>ROUND(VLOOKUP(A184,'[2]Contribution Allocation_Report'!$A$9:$D$310,4,FALSE)*'PY_OPEB Amounts'!$C$323,0)</f>
        <v>9698964</v>
      </c>
      <c r="D184" s="120">
        <f>ROUND(VLOOKUP(A184,'[2]Contribution Allocation_Report'!$A$9:$D$310,4,FALSE)*'PY_OPEB Amounts'!$D$323,0)</f>
        <v>141812</v>
      </c>
      <c r="E184" s="120">
        <f>ROUND(VLOOKUP(A184,'[2]Contribution Allocation_Report'!$A$9:$D$310,4,FALSE)*'PY_OPEB Amounts'!$E$323,0)</f>
        <v>1941822</v>
      </c>
      <c r="F184" s="120">
        <f>INDEX('[2]Change in Proportion Layers'!$Z$8:$Z$321,MATCH('PY_OPEB Amounts'!A184,'[2]Change in Proportion Layers'!$A$8:$A$321,0))</f>
        <v>62395</v>
      </c>
      <c r="G184" s="120">
        <f t="shared" si="6"/>
        <v>2146029</v>
      </c>
      <c r="H184" s="120"/>
      <c r="I184" s="120">
        <f>ROUND(VLOOKUP(A184,'[2]Contribution Allocation_Report'!$A$9:$D$310,4,FALSE)*'PY_OPEB Amounts'!$I$323,0)</f>
        <v>1546783</v>
      </c>
      <c r="J184" s="120">
        <f>ROUND(VLOOKUP(A184,'[2]Contribution Allocation_Report'!$A$9:$D$310,4,FALSE)*'PY_OPEB Amounts'!$J$323,0)</f>
        <v>278013</v>
      </c>
      <c r="K184" s="120">
        <f>ROUND(VLOOKUP(A184,'[2]Contribution Allocation_Report'!$A$9:$D$310,4,FALSE)*'PY_OPEB Amounts'!$K$323,0)</f>
        <v>3506519</v>
      </c>
      <c r="L184" s="120">
        <f>INDEX('[2]Change in Proportion Layers'!$AA$8:$AA$321,MATCH('PY_OPEB Amounts'!A184,'[2]Change in Proportion Layers'!$A$8:$A$321,0))</f>
        <v>773098</v>
      </c>
      <c r="M184" s="120">
        <f t="shared" si="7"/>
        <v>6104413</v>
      </c>
      <c r="N184" s="121"/>
      <c r="O184" s="121">
        <f>ROUND(VLOOKUP(A184,'[2]Contribution Allocation_Report'!$A$9:$D$310,4,FALSE)*'PY_OPEB Amounts'!$O$323,0)</f>
        <v>-1044497</v>
      </c>
      <c r="P184" s="121">
        <f>INDEX('[2]Change in Proportion Layers'!$X$8:$X$321,MATCH('PY_OPEB Amounts'!A184,'[2]Change in Proportion Layers'!$A$8:$A$321,0))</f>
        <v>-152968</v>
      </c>
      <c r="Q184" s="121">
        <f t="shared" si="8"/>
        <v>-1197465</v>
      </c>
    </row>
    <row r="185" spans="1:17" ht="12" customHeight="1">
      <c r="A185" s="166">
        <v>1416</v>
      </c>
      <c r="B185" s="167" t="s">
        <v>174</v>
      </c>
      <c r="C185" s="122">
        <f>ROUND(VLOOKUP(A185,'[2]Contribution Allocation_Report'!$A$9:$D$310,4,FALSE)*'PY_OPEB Amounts'!$C$323,0)</f>
        <v>1195384</v>
      </c>
      <c r="D185" s="122">
        <f>ROUND(VLOOKUP(A185,'[2]Contribution Allocation_Report'!$A$9:$D$310,4,FALSE)*'PY_OPEB Amounts'!$D$323,0)</f>
        <v>17478</v>
      </c>
      <c r="E185" s="122">
        <f>ROUND(VLOOKUP(A185,'[2]Contribution Allocation_Report'!$A$9:$D$310,4,FALSE)*'PY_OPEB Amounts'!$E$323,0)</f>
        <v>239327</v>
      </c>
      <c r="F185" s="122">
        <f>INDEX('[2]Change in Proportion Layers'!$Z$8:$Z$321,MATCH('PY_OPEB Amounts'!A185,'[2]Change in Proportion Layers'!$A$8:$A$321,0))</f>
        <v>248894</v>
      </c>
      <c r="G185" s="122">
        <f t="shared" si="6"/>
        <v>505699</v>
      </c>
      <c r="H185" s="122"/>
      <c r="I185" s="122">
        <f>ROUND(VLOOKUP(A185,'[2]Contribution Allocation_Report'!$A$9:$D$310,4,FALSE)*'PY_OPEB Amounts'!$I$323,0)</f>
        <v>190639</v>
      </c>
      <c r="J185" s="122">
        <f>ROUND(VLOOKUP(A185,'[2]Contribution Allocation_Report'!$A$9:$D$310,4,FALSE)*'PY_OPEB Amounts'!$J$323,0)</f>
        <v>34265</v>
      </c>
      <c r="K185" s="122">
        <f>ROUND(VLOOKUP(A185,'[2]Contribution Allocation_Report'!$A$9:$D$310,4,FALSE)*'PY_OPEB Amounts'!$K$323,0)</f>
        <v>432174</v>
      </c>
      <c r="L185" s="122">
        <f>INDEX('[2]Change in Proportion Layers'!$AA$8:$AA$321,MATCH('PY_OPEB Amounts'!A185,'[2]Change in Proportion Layers'!$A$8:$A$321,0))</f>
        <v>0</v>
      </c>
      <c r="M185" s="122">
        <f t="shared" si="7"/>
        <v>657078</v>
      </c>
      <c r="N185" s="123"/>
      <c r="O185" s="123">
        <f>ROUND(VLOOKUP(A185,'[2]Contribution Allocation_Report'!$A$9:$D$310,4,FALSE)*'PY_OPEB Amounts'!$O$323,0)</f>
        <v>-128733</v>
      </c>
      <c r="P185" s="123">
        <f>INDEX('[2]Change in Proportion Layers'!$X$8:$X$321,MATCH('PY_OPEB Amounts'!A185,'[2]Change in Proportion Layers'!$A$8:$A$321,0))</f>
        <v>74587</v>
      </c>
      <c r="Q185" s="123">
        <f t="shared" si="8"/>
        <v>-54146</v>
      </c>
    </row>
    <row r="186" spans="1:17" ht="12" customHeight="1">
      <c r="A186" s="164">
        <v>1094</v>
      </c>
      <c r="B186" s="168" t="s">
        <v>175</v>
      </c>
      <c r="C186" s="120">
        <f>ROUND(VLOOKUP(A186,'[2]Contribution Allocation_Report'!$A$9:$D$310,4,FALSE)*'PY_OPEB Amounts'!$C$323,0)</f>
        <v>7243705</v>
      </c>
      <c r="D186" s="120">
        <f>ROUND(VLOOKUP(A186,'[2]Contribution Allocation_Report'!$A$9:$D$310,4,FALSE)*'PY_OPEB Amounts'!$D$323,0)</f>
        <v>105913</v>
      </c>
      <c r="E186" s="120">
        <f>ROUND(VLOOKUP(A186,'[2]Contribution Allocation_Report'!$A$9:$D$310,4,FALSE)*'PY_OPEB Amounts'!$E$323,0)</f>
        <v>1450257</v>
      </c>
      <c r="F186" s="120">
        <f>INDEX('[2]Change in Proportion Layers'!$Z$8:$Z$321,MATCH('PY_OPEB Amounts'!A186,'[2]Change in Proportion Layers'!$A$8:$A$321,0))</f>
        <v>194800</v>
      </c>
      <c r="G186" s="120">
        <f t="shared" si="6"/>
        <v>1750970</v>
      </c>
      <c r="H186" s="120"/>
      <c r="I186" s="120">
        <f>ROUND(VLOOKUP(A186,'[2]Contribution Allocation_Report'!$A$9:$D$310,4,FALSE)*'PY_OPEB Amounts'!$I$323,0)</f>
        <v>1155220</v>
      </c>
      <c r="J186" s="120">
        <f>ROUND(VLOOKUP(A186,'[2]Contribution Allocation_Report'!$A$9:$D$310,4,FALSE)*'PY_OPEB Amounts'!$J$323,0)</f>
        <v>207635</v>
      </c>
      <c r="K186" s="120">
        <f>ROUND(VLOOKUP(A186,'[2]Contribution Allocation_Report'!$A$9:$D$310,4,FALSE)*'PY_OPEB Amounts'!$K$323,0)</f>
        <v>2618856</v>
      </c>
      <c r="L186" s="120">
        <f>INDEX('[2]Change in Proportion Layers'!$AA$8:$AA$321,MATCH('PY_OPEB Amounts'!A186,'[2]Change in Proportion Layers'!$A$8:$A$321,0))</f>
        <v>535216</v>
      </c>
      <c r="M186" s="120">
        <f t="shared" si="7"/>
        <v>4516927</v>
      </c>
      <c r="N186" s="121"/>
      <c r="O186" s="121">
        <f>ROUND(VLOOKUP(A186,'[2]Contribution Allocation_Report'!$A$9:$D$310,4,FALSE)*'PY_OPEB Amounts'!$O$323,0)</f>
        <v>-780086</v>
      </c>
      <c r="P186" s="121">
        <f>INDEX('[2]Change in Proportion Layers'!$X$8:$X$321,MATCH('PY_OPEB Amounts'!A186,'[2]Change in Proportion Layers'!$A$8:$A$321,0))</f>
        <v>-41794</v>
      </c>
      <c r="Q186" s="121">
        <f t="shared" si="8"/>
        <v>-821880</v>
      </c>
    </row>
    <row r="187" spans="1:17" ht="12" customHeight="1">
      <c r="A187" s="166">
        <v>32111</v>
      </c>
      <c r="B187" s="167" t="s">
        <v>176</v>
      </c>
      <c r="C187" s="122">
        <f>ROUND(VLOOKUP(A187,'[2]Contribution Allocation_Report'!$A$9:$D$310,4,FALSE)*'PY_OPEB Amounts'!$C$323,0)</f>
        <v>6646836</v>
      </c>
      <c r="D187" s="122">
        <f>ROUND(VLOOKUP(A187,'[2]Contribution Allocation_Report'!$A$9:$D$310,4,FALSE)*'PY_OPEB Amounts'!$D$323,0)</f>
        <v>97185</v>
      </c>
      <c r="E187" s="122">
        <f>ROUND(VLOOKUP(A187,'[2]Contribution Allocation_Report'!$A$9:$D$310,4,FALSE)*'PY_OPEB Amounts'!$E$323,0)</f>
        <v>1330758</v>
      </c>
      <c r="F187" s="122">
        <f>INDEX('[2]Change in Proportion Layers'!$Z$8:$Z$321,MATCH('PY_OPEB Amounts'!A187,'[2]Change in Proportion Layers'!$A$8:$A$321,0))</f>
        <v>50488</v>
      </c>
      <c r="G187" s="122">
        <f t="shared" si="6"/>
        <v>1478431</v>
      </c>
      <c r="H187" s="122"/>
      <c r="I187" s="122">
        <f>ROUND(VLOOKUP(A187,'[2]Contribution Allocation_Report'!$A$9:$D$310,4,FALSE)*'PY_OPEB Amounts'!$I$323,0)</f>
        <v>1060032</v>
      </c>
      <c r="J187" s="122">
        <f>ROUND(VLOOKUP(A187,'[2]Contribution Allocation_Report'!$A$9:$D$310,4,FALSE)*'PY_OPEB Amounts'!$J$323,0)</f>
        <v>190526</v>
      </c>
      <c r="K187" s="122">
        <f>ROUND(VLOOKUP(A187,'[2]Contribution Allocation_Report'!$A$9:$D$310,4,FALSE)*'PY_OPEB Amounts'!$K$323,0)</f>
        <v>2403067</v>
      </c>
      <c r="L187" s="131">
        <f>INDEX('[2]Change in Proportion Layers'!$AA$8:$AA$321,MATCH('PY_OPEB Amounts'!A187,'[2]Change in Proportion Layers'!$A$8:$A$321,0))</f>
        <v>410746</v>
      </c>
      <c r="M187" s="122">
        <f t="shared" si="7"/>
        <v>4064371</v>
      </c>
      <c r="N187" s="123"/>
      <c r="O187" s="123">
        <f>ROUND(VLOOKUP(A187,'[2]Contribution Allocation_Report'!$A$9:$D$310,4,FALSE)*'PY_OPEB Amounts'!$O$323,0)</f>
        <v>-715809</v>
      </c>
      <c r="P187" s="123">
        <f>INDEX('[2]Change in Proportion Layers'!$X$8:$X$321,MATCH('PY_OPEB Amounts'!A187,'[2]Change in Proportion Layers'!$A$8:$A$321,0))</f>
        <v>-59063</v>
      </c>
      <c r="Q187" s="123">
        <f t="shared" si="8"/>
        <v>-774872</v>
      </c>
    </row>
    <row r="188" spans="1:17" ht="12" customHeight="1">
      <c r="A188" s="164">
        <v>2520</v>
      </c>
      <c r="B188" s="168" t="s">
        <v>177</v>
      </c>
      <c r="C188" s="120">
        <f>ROUND(VLOOKUP(A188,'[2]Contribution Allocation_Report'!$A$9:$D$310,4,FALSE)*'PY_OPEB Amounts'!$C$323,0)</f>
        <v>918995</v>
      </c>
      <c r="D188" s="120">
        <f>ROUND(VLOOKUP(A188,'[2]Contribution Allocation_Report'!$A$9:$D$310,4,FALSE)*'PY_OPEB Amounts'!$D$323,0)</f>
        <v>13437</v>
      </c>
      <c r="E188" s="120">
        <f>ROUND(VLOOKUP(A188,'[2]Contribution Allocation_Report'!$A$9:$D$310,4,FALSE)*'PY_OPEB Amounts'!$E$323,0)</f>
        <v>183991</v>
      </c>
      <c r="F188" s="120">
        <f>INDEX('[2]Change in Proportion Layers'!$Z$8:$Z$321,MATCH('PY_OPEB Amounts'!A188,'[2]Change in Proportion Layers'!$A$8:$A$321,0))</f>
        <v>148425</v>
      </c>
      <c r="G188" s="120">
        <f t="shared" si="6"/>
        <v>345853</v>
      </c>
      <c r="H188" s="120"/>
      <c r="I188" s="120">
        <f>ROUND(VLOOKUP(A188,'[2]Contribution Allocation_Report'!$A$9:$D$310,4,FALSE)*'PY_OPEB Amounts'!$I$323,0)</f>
        <v>146561</v>
      </c>
      <c r="J188" s="120">
        <f>ROUND(VLOOKUP(A188,'[2]Contribution Allocation_Report'!$A$9:$D$310,4,FALSE)*'PY_OPEB Amounts'!$J$323,0)</f>
        <v>26342</v>
      </c>
      <c r="K188" s="120">
        <f>ROUND(VLOOKUP(A188,'[2]Contribution Allocation_Report'!$A$9:$D$310,4,FALSE)*'PY_OPEB Amounts'!$K$323,0)</f>
        <v>332249</v>
      </c>
      <c r="L188" s="130">
        <f>INDEX('[2]Change in Proportion Layers'!$AA$8:$AA$321,MATCH('PY_OPEB Amounts'!A188,'[2]Change in Proportion Layers'!$A$8:$A$321,0))</f>
        <v>274360</v>
      </c>
      <c r="M188" s="120">
        <f t="shared" si="7"/>
        <v>779512</v>
      </c>
      <c r="N188" s="121"/>
      <c r="O188" s="121">
        <f>ROUND(VLOOKUP(A188,'[2]Contribution Allocation_Report'!$A$9:$D$310,4,FALSE)*'PY_OPEB Amounts'!$O$323,0)</f>
        <v>-98968</v>
      </c>
      <c r="P188" s="121">
        <f>INDEX('[2]Change in Proportion Layers'!$X$8:$X$321,MATCH('PY_OPEB Amounts'!A188,'[2]Change in Proportion Layers'!$A$8:$A$321,0))</f>
        <v>-68294</v>
      </c>
      <c r="Q188" s="121">
        <f t="shared" si="8"/>
        <v>-167262</v>
      </c>
    </row>
    <row r="189" spans="1:17" ht="12" customHeight="1">
      <c r="A189" s="166">
        <v>3450</v>
      </c>
      <c r="B189" s="167" t="s">
        <v>178</v>
      </c>
      <c r="C189" s="122">
        <f>ROUND(VLOOKUP(A189,'[2]Contribution Allocation_Report'!$A$9:$D$310,4,FALSE)*'PY_OPEB Amounts'!$C$323,0)</f>
        <v>1874183</v>
      </c>
      <c r="D189" s="122">
        <f>ROUND(VLOOKUP(A189,'[2]Contribution Allocation_Report'!$A$9:$D$310,4,FALSE)*'PY_OPEB Amounts'!$D$323,0)</f>
        <v>27403</v>
      </c>
      <c r="E189" s="122">
        <f>ROUND(VLOOKUP(A189,'[2]Contribution Allocation_Report'!$A$9:$D$310,4,FALSE)*'PY_OPEB Amounts'!$E$323,0)</f>
        <v>375229</v>
      </c>
      <c r="F189" s="122">
        <f>INDEX('[2]Change in Proportion Layers'!$Z$8:$Z$321,MATCH('PY_OPEB Amounts'!A189,'[2]Change in Proportion Layers'!$A$8:$A$321,0))</f>
        <v>70185</v>
      </c>
      <c r="G189" s="122">
        <f t="shared" si="6"/>
        <v>472817</v>
      </c>
      <c r="H189" s="122"/>
      <c r="I189" s="122">
        <f>ROUND(VLOOKUP(A189,'[2]Contribution Allocation_Report'!$A$9:$D$310,4,FALSE)*'PY_OPEB Amounts'!$I$323,0)</f>
        <v>298893</v>
      </c>
      <c r="J189" s="122">
        <f>ROUND(VLOOKUP(A189,'[2]Contribution Allocation_Report'!$A$9:$D$310,4,FALSE)*'PY_OPEB Amounts'!$J$323,0)</f>
        <v>53722</v>
      </c>
      <c r="K189" s="122">
        <f>ROUND(VLOOKUP(A189,'[2]Contribution Allocation_Report'!$A$9:$D$310,4,FALSE)*'PY_OPEB Amounts'!$K$323,0)</f>
        <v>677584</v>
      </c>
      <c r="L189" s="122">
        <f>INDEX('[2]Change in Proportion Layers'!$AA$8:$AA$321,MATCH('PY_OPEB Amounts'!A189,'[2]Change in Proportion Layers'!$A$8:$A$321,0))</f>
        <v>60398</v>
      </c>
      <c r="M189" s="122">
        <f t="shared" si="7"/>
        <v>1090597</v>
      </c>
      <c r="N189" s="123"/>
      <c r="O189" s="123">
        <f>ROUND(VLOOKUP(A189,'[2]Contribution Allocation_Report'!$A$9:$D$310,4,FALSE)*'PY_OPEB Amounts'!$O$323,0)</f>
        <v>-201834</v>
      </c>
      <c r="P189" s="123">
        <f>INDEX('[2]Change in Proportion Layers'!$X$8:$X$321,MATCH('PY_OPEB Amounts'!A189,'[2]Change in Proportion Layers'!$A$8:$A$321,0))</f>
        <v>19095</v>
      </c>
      <c r="Q189" s="123">
        <f t="shared" si="8"/>
        <v>-182739</v>
      </c>
    </row>
    <row r="190" spans="1:17" ht="12" customHeight="1">
      <c r="A190" s="164">
        <v>4310</v>
      </c>
      <c r="B190" s="168" t="s">
        <v>179</v>
      </c>
      <c r="C190" s="120">
        <f>ROUND(VLOOKUP(A190,'[2]Contribution Allocation_Report'!$A$9:$D$310,4,FALSE)*'PY_OPEB Amounts'!$C$323,0)</f>
        <v>1070680</v>
      </c>
      <c r="D190" s="120">
        <f>ROUND(VLOOKUP(A190,'[2]Contribution Allocation_Report'!$A$9:$D$310,4,FALSE)*'PY_OPEB Amounts'!$D$323,0)</f>
        <v>15655</v>
      </c>
      <c r="E190" s="120">
        <f>ROUND(VLOOKUP(A190,'[2]Contribution Allocation_Report'!$A$9:$D$310,4,FALSE)*'PY_OPEB Amounts'!$E$323,0)</f>
        <v>214360</v>
      </c>
      <c r="F190" s="120">
        <f>INDEX('[2]Change in Proportion Layers'!$Z$8:$Z$321,MATCH('PY_OPEB Amounts'!A190,'[2]Change in Proportion Layers'!$A$8:$A$321,0))</f>
        <v>121867</v>
      </c>
      <c r="G190" s="120">
        <f t="shared" si="6"/>
        <v>351882</v>
      </c>
      <c r="H190" s="120"/>
      <c r="I190" s="120">
        <f>ROUND(VLOOKUP(A190,'[2]Contribution Allocation_Report'!$A$9:$D$310,4,FALSE)*'PY_OPEB Amounts'!$I$323,0)</f>
        <v>170751</v>
      </c>
      <c r="J190" s="120">
        <f>ROUND(VLOOKUP(A190,'[2]Contribution Allocation_Report'!$A$9:$D$310,4,FALSE)*'PY_OPEB Amounts'!$J$323,0)</f>
        <v>30690</v>
      </c>
      <c r="K190" s="120">
        <f>ROUND(VLOOKUP(A190,'[2]Contribution Allocation_Report'!$A$9:$D$310,4,FALSE)*'PY_OPEB Amounts'!$K$323,0)</f>
        <v>387089</v>
      </c>
      <c r="L190" s="120">
        <f>INDEX('[2]Change in Proportion Layers'!$AA$8:$AA$321,MATCH('PY_OPEB Amounts'!A190,'[2]Change in Proportion Layers'!$A$8:$A$321,0))</f>
        <v>92765</v>
      </c>
      <c r="M190" s="120">
        <f t="shared" si="7"/>
        <v>681295</v>
      </c>
      <c r="N190" s="121"/>
      <c r="O190" s="121">
        <f>ROUND(VLOOKUP(A190,'[2]Contribution Allocation_Report'!$A$9:$D$310,4,FALSE)*'PY_OPEB Amounts'!$O$323,0)</f>
        <v>-115303</v>
      </c>
      <c r="P190" s="121">
        <f>INDEX('[2]Change in Proportion Layers'!$X$8:$X$321,MATCH('PY_OPEB Amounts'!A190,'[2]Change in Proportion Layers'!$A$8:$A$321,0))</f>
        <v>36965</v>
      </c>
      <c r="Q190" s="121">
        <f t="shared" si="8"/>
        <v>-78338</v>
      </c>
    </row>
    <row r="191" spans="1:17" ht="12" customHeight="1">
      <c r="A191" s="166">
        <v>2328</v>
      </c>
      <c r="B191" s="167" t="s">
        <v>180</v>
      </c>
      <c r="C191" s="122">
        <f>ROUND(VLOOKUP(A191,'[2]Contribution Allocation_Report'!$A$9:$D$310,4,FALSE)*'PY_OPEB Amounts'!$C$323,0)</f>
        <v>1743885</v>
      </c>
      <c r="D191" s="122">
        <f>ROUND(VLOOKUP(A191,'[2]Contribution Allocation_Report'!$A$9:$D$310,4,FALSE)*'PY_OPEB Amounts'!$D$323,0)</f>
        <v>25498</v>
      </c>
      <c r="E191" s="122">
        <f>ROUND(VLOOKUP(A191,'[2]Contribution Allocation_Report'!$A$9:$D$310,4,FALSE)*'PY_OPEB Amounts'!$E$323,0)</f>
        <v>349142</v>
      </c>
      <c r="F191" s="122">
        <f>INDEX('[2]Change in Proportion Layers'!$Z$8:$Z$321,MATCH('PY_OPEB Amounts'!A191,'[2]Change in Proportion Layers'!$A$8:$A$321,0))</f>
        <v>279629</v>
      </c>
      <c r="G191" s="122">
        <f t="shared" si="6"/>
        <v>654269</v>
      </c>
      <c r="H191" s="122"/>
      <c r="I191" s="122">
        <f>ROUND(VLOOKUP(A191,'[2]Contribution Allocation_Report'!$A$9:$D$310,4,FALSE)*'PY_OPEB Amounts'!$I$323,0)</f>
        <v>278113</v>
      </c>
      <c r="J191" s="122">
        <f>ROUND(VLOOKUP(A191,'[2]Contribution Allocation_Report'!$A$9:$D$310,4,FALSE)*'PY_OPEB Amounts'!$J$323,0)</f>
        <v>49987</v>
      </c>
      <c r="K191" s="122">
        <f>ROUND(VLOOKUP(A191,'[2]Contribution Allocation_Report'!$A$9:$D$310,4,FALSE)*'PY_OPEB Amounts'!$K$323,0)</f>
        <v>630476</v>
      </c>
      <c r="L191" s="131">
        <f>INDEX('[2]Change in Proportion Layers'!$AA$8:$AA$321,MATCH('PY_OPEB Amounts'!A191,'[2]Change in Proportion Layers'!$A$8:$A$321,0))</f>
        <v>235864</v>
      </c>
      <c r="M191" s="122">
        <f t="shared" si="7"/>
        <v>1194440</v>
      </c>
      <c r="N191" s="123"/>
      <c r="O191" s="123">
        <f>ROUND(VLOOKUP(A191,'[2]Contribution Allocation_Report'!$A$9:$D$310,4,FALSE)*'PY_OPEB Amounts'!$O$323,0)</f>
        <v>-187802</v>
      </c>
      <c r="P191" s="123">
        <f>INDEX('[2]Change in Proportion Layers'!$X$8:$X$321,MATCH('PY_OPEB Amounts'!A191,'[2]Change in Proportion Layers'!$A$8:$A$321,0))</f>
        <v>-45473</v>
      </c>
      <c r="Q191" s="123">
        <f t="shared" si="8"/>
        <v>-233275</v>
      </c>
    </row>
    <row r="192" spans="1:17" ht="12" customHeight="1">
      <c r="A192" s="164">
        <v>12151</v>
      </c>
      <c r="B192" s="168" t="s">
        <v>181</v>
      </c>
      <c r="C192" s="120">
        <f>ROUND(VLOOKUP(A192,'[2]Contribution Allocation_Report'!$A$9:$D$310,4,FALSE)*'PY_OPEB Amounts'!$C$323,0)</f>
        <v>576469</v>
      </c>
      <c r="D192" s="120">
        <f>ROUND(VLOOKUP(A192,'[2]Contribution Allocation_Report'!$A$9:$D$310,4,FALSE)*'PY_OPEB Amounts'!$D$323,0)</f>
        <v>8429</v>
      </c>
      <c r="E192" s="120">
        <f>ROUND(VLOOKUP(A192,'[2]Contribution Allocation_Report'!$A$9:$D$310,4,FALSE)*'PY_OPEB Amounts'!$E$323,0)</f>
        <v>115414</v>
      </c>
      <c r="F192" s="120">
        <f>INDEX('[2]Change in Proportion Layers'!$Z$8:$Z$321,MATCH('PY_OPEB Amounts'!A192,'[2]Change in Proportion Layers'!$A$8:$A$321,0))</f>
        <v>39526</v>
      </c>
      <c r="G192" s="120">
        <f t="shared" si="6"/>
        <v>163369</v>
      </c>
      <c r="H192" s="120"/>
      <c r="I192" s="120">
        <f>ROUND(VLOOKUP(A192,'[2]Contribution Allocation_Report'!$A$9:$D$310,4,FALSE)*'PY_OPEB Amounts'!$I$323,0)</f>
        <v>91935</v>
      </c>
      <c r="J192" s="120">
        <f>ROUND(VLOOKUP(A192,'[2]Contribution Allocation_Report'!$A$9:$D$310,4,FALSE)*'PY_OPEB Amounts'!$J$323,0)</f>
        <v>16524</v>
      </c>
      <c r="K192" s="120">
        <f>ROUND(VLOOKUP(A192,'[2]Contribution Allocation_Report'!$A$9:$D$310,4,FALSE)*'PY_OPEB Amounts'!$K$323,0)</f>
        <v>208414</v>
      </c>
      <c r="L192" s="130">
        <f>INDEX('[2]Change in Proportion Layers'!$AA$8:$AA$321,MATCH('PY_OPEB Amounts'!A192,'[2]Change in Proportion Layers'!$A$8:$A$321,0))</f>
        <v>291463</v>
      </c>
      <c r="M192" s="120">
        <f t="shared" si="7"/>
        <v>608336</v>
      </c>
      <c r="N192" s="121"/>
      <c r="O192" s="121">
        <f>ROUND(VLOOKUP(A192,'[2]Contribution Allocation_Report'!$A$9:$D$310,4,FALSE)*'PY_OPEB Amounts'!$O$323,0)</f>
        <v>-62081</v>
      </c>
      <c r="P192" s="121">
        <f>INDEX('[2]Change in Proportion Layers'!$X$8:$X$321,MATCH('PY_OPEB Amounts'!A192,'[2]Change in Proportion Layers'!$A$8:$A$321,0))</f>
        <v>-91567</v>
      </c>
      <c r="Q192" s="121">
        <f t="shared" si="8"/>
        <v>-153648</v>
      </c>
    </row>
    <row r="193" spans="1:17" ht="12" customHeight="1">
      <c r="A193" s="166">
        <v>32110</v>
      </c>
      <c r="B193" s="167" t="s">
        <v>182</v>
      </c>
      <c r="C193" s="122">
        <f>ROUND(VLOOKUP(A193,'[2]Contribution Allocation_Report'!$A$9:$D$310,4,FALSE)*'PY_OPEB Amounts'!$C$323,0)</f>
        <v>6663287</v>
      </c>
      <c r="D193" s="122">
        <f>ROUND(VLOOKUP(A193,'[2]Contribution Allocation_Report'!$A$9:$D$310,4,FALSE)*'PY_OPEB Amounts'!$D$323,0)</f>
        <v>97426</v>
      </c>
      <c r="E193" s="122">
        <f>ROUND(VLOOKUP(A193,'[2]Contribution Allocation_Report'!$A$9:$D$310,4,FALSE)*'PY_OPEB Amounts'!$E$323,0)</f>
        <v>1334052</v>
      </c>
      <c r="F193" s="122">
        <f>INDEX('[2]Change in Proportion Layers'!$Z$8:$Z$321,MATCH('PY_OPEB Amounts'!A193,'[2]Change in Proportion Layers'!$A$8:$A$321,0))</f>
        <v>1041433</v>
      </c>
      <c r="G193" s="122">
        <f t="shared" si="6"/>
        <v>2472911</v>
      </c>
      <c r="H193" s="122"/>
      <c r="I193" s="122">
        <f>ROUND(VLOOKUP(A193,'[2]Contribution Allocation_Report'!$A$9:$D$310,4,FALSE)*'PY_OPEB Amounts'!$I$323,0)</f>
        <v>1062656</v>
      </c>
      <c r="J193" s="122">
        <f>ROUND(VLOOKUP(A193,'[2]Contribution Allocation_Report'!$A$9:$D$310,4,FALSE)*'PY_OPEB Amounts'!$J$323,0)</f>
        <v>190997</v>
      </c>
      <c r="K193" s="122">
        <f>ROUND(VLOOKUP(A193,'[2]Contribution Allocation_Report'!$A$9:$D$310,4,FALSE)*'PY_OPEB Amounts'!$K$323,0)</f>
        <v>2409015</v>
      </c>
      <c r="L193" s="122">
        <f>INDEX('[2]Change in Proportion Layers'!$AA$8:$AA$321,MATCH('PY_OPEB Amounts'!A193,'[2]Change in Proportion Layers'!$A$8:$A$321,0))</f>
        <v>69925</v>
      </c>
      <c r="M193" s="122">
        <f t="shared" si="7"/>
        <v>3732593</v>
      </c>
      <c r="N193" s="123"/>
      <c r="O193" s="123">
        <f>ROUND(VLOOKUP(A193,'[2]Contribution Allocation_Report'!$A$9:$D$310,4,FALSE)*'PY_OPEB Amounts'!$O$323,0)</f>
        <v>-717580</v>
      </c>
      <c r="P193" s="123">
        <f>INDEX('[2]Change in Proportion Layers'!$X$8:$X$321,MATCH('PY_OPEB Amounts'!A193,'[2]Change in Proportion Layers'!$A$8:$A$321,0))</f>
        <v>258943</v>
      </c>
      <c r="Q193" s="123">
        <f t="shared" si="8"/>
        <v>-458637</v>
      </c>
    </row>
    <row r="194" spans="1:17" ht="12" customHeight="1">
      <c r="A194" s="164">
        <v>4215</v>
      </c>
      <c r="B194" s="168" t="s">
        <v>183</v>
      </c>
      <c r="C194" s="120">
        <f>ROUND(VLOOKUP(A194,'[2]Contribution Allocation_Report'!$A$9:$D$310,4,FALSE)*'PY_OPEB Amounts'!$C$323,0)</f>
        <v>97394</v>
      </c>
      <c r="D194" s="120">
        <f>ROUND(VLOOKUP(A194,'[2]Contribution Allocation_Report'!$A$9:$D$310,4,FALSE)*'PY_OPEB Amounts'!$D$323,0)</f>
        <v>1424</v>
      </c>
      <c r="E194" s="120">
        <f>ROUND(VLOOKUP(A194,'[2]Contribution Allocation_Report'!$A$9:$D$310,4,FALSE)*'PY_OPEB Amounts'!$E$323,0)</f>
        <v>19499</v>
      </c>
      <c r="F194" s="120">
        <f>INDEX('[2]Change in Proportion Layers'!$Z$8:$Z$321,MATCH('PY_OPEB Amounts'!A194,'[2]Change in Proportion Layers'!$A$8:$A$321,0))</f>
        <v>19572</v>
      </c>
      <c r="G194" s="120">
        <f t="shared" si="6"/>
        <v>40495</v>
      </c>
      <c r="H194" s="120"/>
      <c r="I194" s="120">
        <f>ROUND(VLOOKUP(A194,'[2]Contribution Allocation_Report'!$A$9:$D$310,4,FALSE)*'PY_OPEB Amounts'!$I$323,0)</f>
        <v>15532</v>
      </c>
      <c r="J194" s="120">
        <f>ROUND(VLOOKUP(A194,'[2]Contribution Allocation_Report'!$A$9:$D$310,4,FALSE)*'PY_OPEB Amounts'!$J$323,0)</f>
        <v>2792</v>
      </c>
      <c r="K194" s="120">
        <f>ROUND(VLOOKUP(A194,'[2]Contribution Allocation_Report'!$A$9:$D$310,4,FALSE)*'PY_OPEB Amounts'!$K$323,0)</f>
        <v>35212</v>
      </c>
      <c r="L194" s="120">
        <f>INDEX('[2]Change in Proportion Layers'!$AA$8:$AA$321,MATCH('PY_OPEB Amounts'!A194,'[2]Change in Proportion Layers'!$A$8:$A$321,0))</f>
        <v>326451</v>
      </c>
      <c r="M194" s="120">
        <f t="shared" si="7"/>
        <v>379987</v>
      </c>
      <c r="N194" s="121"/>
      <c r="O194" s="121">
        <f>ROUND(VLOOKUP(A194,'[2]Contribution Allocation_Report'!$A$9:$D$310,4,FALSE)*'PY_OPEB Amounts'!$O$323,0)</f>
        <v>-10489</v>
      </c>
      <c r="P194" s="121">
        <f>INDEX('[2]Change in Proportion Layers'!$X$8:$X$321,MATCH('PY_OPEB Amounts'!A194,'[2]Change in Proportion Layers'!$A$8:$A$321,0))</f>
        <v>-72468</v>
      </c>
      <c r="Q194" s="121">
        <f t="shared" si="8"/>
        <v>-82957</v>
      </c>
    </row>
    <row r="195" spans="1:17" ht="12" customHeight="1">
      <c r="A195" s="166">
        <v>2870</v>
      </c>
      <c r="B195" s="167" t="s">
        <v>184</v>
      </c>
      <c r="C195" s="122">
        <f>ROUND(VLOOKUP(A195,'[2]Contribution Allocation_Report'!$A$9:$D$310,4,FALSE)*'PY_OPEB Amounts'!$C$323,0)</f>
        <v>1060480</v>
      </c>
      <c r="D195" s="122">
        <f>ROUND(VLOOKUP(A195,'[2]Contribution Allocation_Report'!$A$9:$D$310,4,FALSE)*'PY_OPEB Amounts'!$D$323,0)</f>
        <v>15506</v>
      </c>
      <c r="E195" s="122">
        <f>ROUND(VLOOKUP(A195,'[2]Contribution Allocation_Report'!$A$9:$D$310,4,FALSE)*'PY_OPEB Amounts'!$E$323,0)</f>
        <v>212318</v>
      </c>
      <c r="F195" s="122">
        <f>INDEX('[2]Change in Proportion Layers'!$Z$8:$Z$321,MATCH('PY_OPEB Amounts'!A195,'[2]Change in Proportion Layers'!$A$8:$A$321,0))</f>
        <v>63324</v>
      </c>
      <c r="G195" s="122">
        <f t="shared" si="6"/>
        <v>291148</v>
      </c>
      <c r="H195" s="122"/>
      <c r="I195" s="122">
        <f>ROUND(VLOOKUP(A195,'[2]Contribution Allocation_Report'!$A$9:$D$310,4,FALSE)*'PY_OPEB Amounts'!$I$323,0)</f>
        <v>169124</v>
      </c>
      <c r="J195" s="122">
        <f>ROUND(VLOOKUP(A195,'[2]Contribution Allocation_Report'!$A$9:$D$310,4,FALSE)*'PY_OPEB Amounts'!$J$323,0)</f>
        <v>30398</v>
      </c>
      <c r="K195" s="122">
        <f>ROUND(VLOOKUP(A195,'[2]Contribution Allocation_Report'!$A$9:$D$310,4,FALSE)*'PY_OPEB Amounts'!$K$323,0)</f>
        <v>383401</v>
      </c>
      <c r="L195" s="122">
        <f>INDEX('[2]Change in Proportion Layers'!$AA$8:$AA$321,MATCH('PY_OPEB Amounts'!A195,'[2]Change in Proportion Layers'!$A$8:$A$321,0))</f>
        <v>67668</v>
      </c>
      <c r="M195" s="122">
        <f t="shared" si="7"/>
        <v>650591</v>
      </c>
      <c r="N195" s="123"/>
      <c r="O195" s="123">
        <f>ROUND(VLOOKUP(A195,'[2]Contribution Allocation_Report'!$A$9:$D$310,4,FALSE)*'PY_OPEB Amounts'!$O$323,0)</f>
        <v>-114205</v>
      </c>
      <c r="P195" s="123">
        <f>INDEX('[2]Change in Proportion Layers'!$X$8:$X$321,MATCH('PY_OPEB Amounts'!A195,'[2]Change in Proportion Layers'!$A$8:$A$321,0))</f>
        <v>14016</v>
      </c>
      <c r="Q195" s="123">
        <f t="shared" si="8"/>
        <v>-100189</v>
      </c>
    </row>
    <row r="196" spans="1:17" ht="12" customHeight="1">
      <c r="A196" s="164">
        <v>29150</v>
      </c>
      <c r="B196" s="168" t="s">
        <v>185</v>
      </c>
      <c r="C196" s="120">
        <f>ROUND(VLOOKUP(A196,'[2]Contribution Allocation_Report'!$A$9:$D$310,4,FALSE)*'PY_OPEB Amounts'!$C$323,0)</f>
        <v>323770</v>
      </c>
      <c r="D196" s="120">
        <f>ROUND(VLOOKUP(A196,'[2]Contribution Allocation_Report'!$A$9:$D$310,4,FALSE)*'PY_OPEB Amounts'!$D$323,0)</f>
        <v>4734</v>
      </c>
      <c r="E196" s="120">
        <f>ROUND(VLOOKUP(A196,'[2]Contribution Allocation_Report'!$A$9:$D$310,4,FALSE)*'PY_OPEB Amounts'!$E$323,0)</f>
        <v>64822</v>
      </c>
      <c r="F196" s="120">
        <f>INDEX('[2]Change in Proportion Layers'!$Z$8:$Z$321,MATCH('PY_OPEB Amounts'!A196,'[2]Change in Proportion Layers'!$A$8:$A$321,0))</f>
        <v>74942</v>
      </c>
      <c r="G196" s="120">
        <f t="shared" si="6"/>
        <v>144498</v>
      </c>
      <c r="H196" s="120"/>
      <c r="I196" s="120">
        <f>ROUND(VLOOKUP(A196,'[2]Contribution Allocation_Report'!$A$9:$D$310,4,FALSE)*'PY_OPEB Amounts'!$I$323,0)</f>
        <v>51635</v>
      </c>
      <c r="J196" s="120">
        <f>ROUND(VLOOKUP(A196,'[2]Contribution Allocation_Report'!$A$9:$D$310,4,FALSE)*'PY_OPEB Amounts'!$J$323,0)</f>
        <v>9281</v>
      </c>
      <c r="K196" s="120">
        <f>ROUND(VLOOKUP(A196,'[2]Contribution Allocation_Report'!$A$9:$D$310,4,FALSE)*'PY_OPEB Amounts'!$K$323,0)</f>
        <v>117054</v>
      </c>
      <c r="L196" s="120">
        <f>INDEX('[2]Change in Proportion Layers'!$AA$8:$AA$321,MATCH('PY_OPEB Amounts'!A196,'[2]Change in Proportion Layers'!$A$8:$A$321,0))</f>
        <v>99004</v>
      </c>
      <c r="M196" s="120">
        <f t="shared" si="7"/>
        <v>276974</v>
      </c>
      <c r="N196" s="121"/>
      <c r="O196" s="121">
        <f>ROUND(VLOOKUP(A196,'[2]Contribution Allocation_Report'!$A$9:$D$310,4,FALSE)*'PY_OPEB Amounts'!$O$323,0)</f>
        <v>-34867</v>
      </c>
      <c r="P196" s="121">
        <f>INDEX('[2]Change in Proportion Layers'!$X$8:$X$321,MATCH('PY_OPEB Amounts'!A196,'[2]Change in Proportion Layers'!$A$8:$A$321,0))</f>
        <v>20453</v>
      </c>
      <c r="Q196" s="121">
        <f t="shared" si="8"/>
        <v>-14414</v>
      </c>
    </row>
    <row r="197" spans="1:17" ht="12" customHeight="1">
      <c r="A197" s="166">
        <v>2311</v>
      </c>
      <c r="B197" s="167" t="s">
        <v>186</v>
      </c>
      <c r="C197" s="122">
        <f>ROUND(VLOOKUP(A197,'[2]Contribution Allocation_Report'!$A$9:$D$310,4,FALSE)*'PY_OPEB Amounts'!$C$323,0)</f>
        <v>884446</v>
      </c>
      <c r="D197" s="122">
        <f>ROUND(VLOOKUP(A197,'[2]Contribution Allocation_Report'!$A$9:$D$310,4,FALSE)*'PY_OPEB Amounts'!$D$323,0)</f>
        <v>12932</v>
      </c>
      <c r="E197" s="122">
        <f>ROUND(VLOOKUP(A197,'[2]Contribution Allocation_Report'!$A$9:$D$310,4,FALSE)*'PY_OPEB Amounts'!$E$323,0)</f>
        <v>177074</v>
      </c>
      <c r="F197" s="122">
        <f>INDEX('[2]Change in Proportion Layers'!$Z$8:$Z$321,MATCH('PY_OPEB Amounts'!A197,'[2]Change in Proportion Layers'!$A$8:$A$321,0))</f>
        <v>227571</v>
      </c>
      <c r="G197" s="122">
        <f t="shared" si="6"/>
        <v>417577</v>
      </c>
      <c r="H197" s="122"/>
      <c r="I197" s="122">
        <f>ROUND(VLOOKUP(A197,'[2]Contribution Allocation_Report'!$A$9:$D$310,4,FALSE)*'PY_OPEB Amounts'!$I$323,0)</f>
        <v>141051</v>
      </c>
      <c r="J197" s="122">
        <f>ROUND(VLOOKUP(A197,'[2]Contribution Allocation_Report'!$A$9:$D$310,4,FALSE)*'PY_OPEB Amounts'!$J$323,0)</f>
        <v>25352</v>
      </c>
      <c r="K197" s="122">
        <f>ROUND(VLOOKUP(A197,'[2]Contribution Allocation_Report'!$A$9:$D$310,4,FALSE)*'PY_OPEB Amounts'!$K$323,0)</f>
        <v>319759</v>
      </c>
      <c r="L197" s="131">
        <f>INDEX('[2]Change in Proportion Layers'!$AA$8:$AA$321,MATCH('PY_OPEB Amounts'!A197,'[2]Change in Proportion Layers'!$A$8:$A$321,0))</f>
        <v>151968</v>
      </c>
      <c r="M197" s="122">
        <f t="shared" si="7"/>
        <v>638130</v>
      </c>
      <c r="N197" s="123"/>
      <c r="O197" s="123">
        <f>ROUND(VLOOKUP(A197,'[2]Contribution Allocation_Report'!$A$9:$D$310,4,FALSE)*'PY_OPEB Amounts'!$O$323,0)</f>
        <v>-95247</v>
      </c>
      <c r="P197" s="123">
        <f>INDEX('[2]Change in Proportion Layers'!$X$8:$X$321,MATCH('PY_OPEB Amounts'!A197,'[2]Change in Proportion Layers'!$A$8:$A$321,0))</f>
        <v>38861</v>
      </c>
      <c r="Q197" s="123">
        <f t="shared" si="8"/>
        <v>-56386</v>
      </c>
    </row>
    <row r="198" spans="1:17" ht="12" customHeight="1">
      <c r="A198" s="164">
        <v>32118</v>
      </c>
      <c r="B198" s="168" t="s">
        <v>187</v>
      </c>
      <c r="C198" s="120">
        <f>ROUND(VLOOKUP(A198,'[2]Contribution Allocation_Report'!$A$9:$D$310,4,FALSE)*'PY_OPEB Amounts'!$C$323,0)</f>
        <v>3067264</v>
      </c>
      <c r="D198" s="120">
        <f>ROUND(VLOOKUP(A198,'[2]Contribution Allocation_Report'!$A$9:$D$310,4,FALSE)*'PY_OPEB Amounts'!$D$323,0)</f>
        <v>44847</v>
      </c>
      <c r="E198" s="120">
        <f>ROUND(VLOOKUP(A198,'[2]Contribution Allocation_Report'!$A$9:$D$310,4,FALSE)*'PY_OPEB Amounts'!$E$323,0)</f>
        <v>614095</v>
      </c>
      <c r="F198" s="120">
        <f>INDEX('[2]Change in Proportion Layers'!$Z$8:$Z$321,MATCH('PY_OPEB Amounts'!A198,'[2]Change in Proportion Layers'!$A$8:$A$321,0))</f>
        <v>2688505</v>
      </c>
      <c r="G198" s="120">
        <f t="shared" si="6"/>
        <v>3347447</v>
      </c>
      <c r="H198" s="120"/>
      <c r="I198" s="120">
        <f>ROUND(VLOOKUP(A198,'[2]Contribution Allocation_Report'!$A$9:$D$310,4,FALSE)*'PY_OPEB Amounts'!$I$323,0)</f>
        <v>489165</v>
      </c>
      <c r="J198" s="120">
        <f>ROUND(VLOOKUP(A198,'[2]Contribution Allocation_Report'!$A$9:$D$310,4,FALSE)*'PY_OPEB Amounts'!$J$323,0)</f>
        <v>87921</v>
      </c>
      <c r="K198" s="120">
        <f>ROUND(VLOOKUP(A198,'[2]Contribution Allocation_Report'!$A$9:$D$310,4,FALSE)*'PY_OPEB Amounts'!$K$323,0)</f>
        <v>1108925</v>
      </c>
      <c r="L198" s="130">
        <f>INDEX('[2]Change in Proportion Layers'!$AA$8:$AA$321,MATCH('PY_OPEB Amounts'!A198,'[2]Change in Proportion Layers'!$A$8:$A$321,0))</f>
        <v>0</v>
      </c>
      <c r="M198" s="120">
        <f t="shared" si="7"/>
        <v>1686011</v>
      </c>
      <c r="N198" s="121"/>
      <c r="O198" s="121">
        <f>ROUND(VLOOKUP(A198,'[2]Contribution Allocation_Report'!$A$9:$D$310,4,FALSE)*'PY_OPEB Amounts'!$O$323,0)</f>
        <v>-330319</v>
      </c>
      <c r="P198" s="121">
        <f>INDEX('[2]Change in Proportion Layers'!$X$8:$X$321,MATCH('PY_OPEB Amounts'!A198,'[2]Change in Proportion Layers'!$A$8:$A$321,0))</f>
        <v>679695</v>
      </c>
      <c r="Q198" s="121">
        <f t="shared" si="8"/>
        <v>349376</v>
      </c>
    </row>
    <row r="199" spans="1:17" ht="12" customHeight="1">
      <c r="A199" s="166">
        <v>12039</v>
      </c>
      <c r="B199" s="167" t="s">
        <v>188</v>
      </c>
      <c r="C199" s="122">
        <f>ROUND(VLOOKUP(A199,'[2]Contribution Allocation_Report'!$A$9:$D$310,4,FALSE)*'PY_OPEB Amounts'!$C$323,0)</f>
        <v>2880372</v>
      </c>
      <c r="D199" s="122">
        <f>ROUND(VLOOKUP(A199,'[2]Contribution Allocation_Report'!$A$9:$D$310,4,FALSE)*'PY_OPEB Amounts'!$D$323,0)</f>
        <v>42115</v>
      </c>
      <c r="E199" s="122">
        <f>ROUND(VLOOKUP(A199,'[2]Contribution Allocation_Report'!$A$9:$D$310,4,FALSE)*'PY_OPEB Amounts'!$E$323,0)</f>
        <v>576677</v>
      </c>
      <c r="F199" s="122">
        <f>INDEX('[2]Change in Proportion Layers'!$Z$8:$Z$321,MATCH('PY_OPEB Amounts'!A199,'[2]Change in Proportion Layers'!$A$8:$A$321,0))</f>
        <v>16393</v>
      </c>
      <c r="G199" s="122">
        <f t="shared" si="6"/>
        <v>635185</v>
      </c>
      <c r="H199" s="122"/>
      <c r="I199" s="122">
        <f>ROUND(VLOOKUP(A199,'[2]Contribution Allocation_Report'!$A$9:$D$310,4,FALSE)*'PY_OPEB Amounts'!$I$323,0)</f>
        <v>459359</v>
      </c>
      <c r="J199" s="122">
        <f>ROUND(VLOOKUP(A199,'[2]Contribution Allocation_Report'!$A$9:$D$310,4,FALSE)*'PY_OPEB Amounts'!$J$323,0)</f>
        <v>82563</v>
      </c>
      <c r="K199" s="122">
        <f>ROUND(VLOOKUP(A199,'[2]Contribution Allocation_Report'!$A$9:$D$310,4,FALSE)*'PY_OPEB Amounts'!$K$323,0)</f>
        <v>1041357</v>
      </c>
      <c r="L199" s="131">
        <f>INDEX('[2]Change in Proportion Layers'!$AA$8:$AA$321,MATCH('PY_OPEB Amounts'!A199,'[2]Change in Proportion Layers'!$A$8:$A$321,0))</f>
        <v>431419</v>
      </c>
      <c r="M199" s="122">
        <f t="shared" si="7"/>
        <v>2014698</v>
      </c>
      <c r="N199" s="123"/>
      <c r="O199" s="123">
        <f>ROUND(VLOOKUP(A199,'[2]Contribution Allocation_Report'!$A$9:$D$310,4,FALSE)*'PY_OPEB Amounts'!$O$323,0)</f>
        <v>-310192</v>
      </c>
      <c r="P199" s="123">
        <f>INDEX('[2]Change in Proportion Layers'!$X$8:$X$321,MATCH('PY_OPEB Amounts'!A199,'[2]Change in Proportion Layers'!$A$8:$A$321,0))</f>
        <v>-97106</v>
      </c>
      <c r="Q199" s="123">
        <f t="shared" si="8"/>
        <v>-407298</v>
      </c>
    </row>
    <row r="200" spans="1:17" ht="12" customHeight="1">
      <c r="A200" s="164">
        <v>12150</v>
      </c>
      <c r="B200" s="168" t="s">
        <v>189</v>
      </c>
      <c r="C200" s="120">
        <f>ROUND(VLOOKUP(A200,'[2]Contribution Allocation_Report'!$A$9:$D$310,4,FALSE)*'PY_OPEB Amounts'!$C$323,0)</f>
        <v>558701</v>
      </c>
      <c r="D200" s="120">
        <f>ROUND(VLOOKUP(A200,'[2]Contribution Allocation_Report'!$A$9:$D$310,4,FALSE)*'PY_OPEB Amounts'!$D$323,0)</f>
        <v>8169</v>
      </c>
      <c r="E200" s="120">
        <f>ROUND(VLOOKUP(A200,'[2]Contribution Allocation_Report'!$A$9:$D$310,4,FALSE)*'PY_OPEB Amounts'!$E$323,0)</f>
        <v>111857</v>
      </c>
      <c r="F200" s="120">
        <f>INDEX('[2]Change in Proportion Layers'!$Z$8:$Z$321,MATCH('PY_OPEB Amounts'!A200,'[2]Change in Proportion Layers'!$A$8:$A$321,0))</f>
        <v>141539</v>
      </c>
      <c r="G200" s="120">
        <f t="shared" si="6"/>
        <v>261565</v>
      </c>
      <c r="H200" s="120"/>
      <c r="I200" s="120">
        <f>ROUND(VLOOKUP(A200,'[2]Contribution Allocation_Report'!$A$9:$D$310,4,FALSE)*'PY_OPEB Amounts'!$I$323,0)</f>
        <v>89101</v>
      </c>
      <c r="J200" s="120">
        <f>ROUND(VLOOKUP(A200,'[2]Contribution Allocation_Report'!$A$9:$D$310,4,FALSE)*'PY_OPEB Amounts'!$J$323,0)</f>
        <v>16015</v>
      </c>
      <c r="K200" s="120">
        <f>ROUND(VLOOKUP(A200,'[2]Contribution Allocation_Report'!$A$9:$D$310,4,FALSE)*'PY_OPEB Amounts'!$K$323,0)</f>
        <v>201990</v>
      </c>
      <c r="L200" s="130">
        <f>INDEX('[2]Change in Proportion Layers'!$AA$8:$AA$321,MATCH('PY_OPEB Amounts'!A200,'[2]Change in Proportion Layers'!$A$8:$A$321,0))</f>
        <v>77036</v>
      </c>
      <c r="M200" s="120">
        <f t="shared" si="7"/>
        <v>384142</v>
      </c>
      <c r="N200" s="121"/>
      <c r="O200" s="121">
        <f>ROUND(VLOOKUP(A200,'[2]Contribution Allocation_Report'!$A$9:$D$310,4,FALSE)*'PY_OPEB Amounts'!$O$323,0)</f>
        <v>-60167</v>
      </c>
      <c r="P200" s="121">
        <f>INDEX('[2]Change in Proportion Layers'!$X$8:$X$321,MATCH('PY_OPEB Amounts'!A200,'[2]Change in Proportion Layers'!$A$8:$A$321,0))</f>
        <v>45362</v>
      </c>
      <c r="Q200" s="121">
        <f t="shared" si="8"/>
        <v>-14805</v>
      </c>
    </row>
    <row r="201" spans="1:17" ht="12" customHeight="1">
      <c r="A201" s="166">
        <v>20060</v>
      </c>
      <c r="B201" s="167" t="s">
        <v>190</v>
      </c>
      <c r="C201" s="122">
        <f>ROUND(VLOOKUP(A201,'[2]Contribution Allocation_Report'!$A$9:$D$310,4,FALSE)*'PY_OPEB Amounts'!$C$323,0)</f>
        <v>2043965</v>
      </c>
      <c r="D201" s="122">
        <f>ROUND(VLOOKUP(A201,'[2]Contribution Allocation_Report'!$A$9:$D$310,4,FALSE)*'PY_OPEB Amounts'!$D$323,0)</f>
        <v>29885</v>
      </c>
      <c r="E201" s="122">
        <f>ROUND(VLOOKUP(A201,'[2]Contribution Allocation_Report'!$A$9:$D$310,4,FALSE)*'PY_OPEB Amounts'!$E$323,0)</f>
        <v>409221</v>
      </c>
      <c r="F201" s="122">
        <f>INDEX('[2]Change in Proportion Layers'!$Z$8:$Z$321,MATCH('PY_OPEB Amounts'!A201,'[2]Change in Proportion Layers'!$A$8:$A$321,0))</f>
        <v>613923</v>
      </c>
      <c r="G201" s="122">
        <f t="shared" si="6"/>
        <v>1053029</v>
      </c>
      <c r="H201" s="122"/>
      <c r="I201" s="122">
        <f>ROUND(VLOOKUP(A201,'[2]Contribution Allocation_Report'!$A$9:$D$310,4,FALSE)*'PY_OPEB Amounts'!$I$323,0)</f>
        <v>325970</v>
      </c>
      <c r="J201" s="122">
        <f>ROUND(VLOOKUP(A201,'[2]Contribution Allocation_Report'!$A$9:$D$310,4,FALSE)*'PY_OPEB Amounts'!$J$323,0)</f>
        <v>58589</v>
      </c>
      <c r="K201" s="122">
        <f>ROUND(VLOOKUP(A201,'[2]Contribution Allocation_Report'!$A$9:$D$310,4,FALSE)*'PY_OPEB Amounts'!$K$323,0)</f>
        <v>738966</v>
      </c>
      <c r="L201" s="131">
        <f>INDEX('[2]Change in Proportion Layers'!$AA$8:$AA$321,MATCH('PY_OPEB Amounts'!A201,'[2]Change in Proportion Layers'!$A$8:$A$321,0))</f>
        <v>714125</v>
      </c>
      <c r="M201" s="122">
        <f t="shared" si="7"/>
        <v>1837650</v>
      </c>
      <c r="N201" s="123"/>
      <c r="O201" s="123">
        <f>ROUND(VLOOKUP(A201,'[2]Contribution Allocation_Report'!$A$9:$D$310,4,FALSE)*'PY_OPEB Amounts'!$O$323,0)</f>
        <v>-220118</v>
      </c>
      <c r="P201" s="123">
        <f>INDEX('[2]Change in Proportion Layers'!$X$8:$X$321,MATCH('PY_OPEB Amounts'!A201,'[2]Change in Proportion Layers'!$A$8:$A$321,0))</f>
        <v>120577</v>
      </c>
      <c r="Q201" s="123">
        <f t="shared" si="8"/>
        <v>-99541</v>
      </c>
    </row>
    <row r="202" spans="1:17" ht="12" customHeight="1">
      <c r="A202" s="164">
        <v>1001</v>
      </c>
      <c r="B202" s="165" t="s">
        <v>191</v>
      </c>
      <c r="C202" s="126">
        <f>ROUND(VLOOKUP(A202,'[2]Contribution Allocation_Report'!$A$9:$D$310,4,FALSE)*'PY_OPEB Amounts'!$C$323,0)</f>
        <v>5668615</v>
      </c>
      <c r="D202" s="126">
        <f>ROUND(VLOOKUP(A202,'[2]Contribution Allocation_Report'!$A$9:$D$310,4,FALSE)*'PY_OPEB Amounts'!$D$323,0)</f>
        <v>82883</v>
      </c>
      <c r="E202" s="126">
        <f>ROUND(VLOOKUP(A202,'[2]Contribution Allocation_Report'!$A$9:$D$310,4,FALSE)*'PY_OPEB Amounts'!$E$323,0)</f>
        <v>1134909</v>
      </c>
      <c r="F202" s="126">
        <f>INDEX('[2]Change in Proportion Layers'!$Z$8:$Z$321,MATCH('PY_OPEB Amounts'!A202,'[2]Change in Proportion Layers'!$A$8:$A$321,0))</f>
        <v>626803</v>
      </c>
      <c r="G202" s="126">
        <f t="shared" si="6"/>
        <v>1844595</v>
      </c>
      <c r="H202" s="126"/>
      <c r="I202" s="126">
        <f>ROUND(VLOOKUP(A202,'[2]Contribution Allocation_Report'!$A$9:$D$310,4,FALSE)*'PY_OPEB Amounts'!$I$323,0)</f>
        <v>904026</v>
      </c>
      <c r="J202" s="126">
        <f>ROUND(VLOOKUP(A202,'[2]Contribution Allocation_Report'!$A$9:$D$310,4,FALSE)*'PY_OPEB Amounts'!$J$323,0)</f>
        <v>162486</v>
      </c>
      <c r="K202" s="126">
        <f>ROUND(VLOOKUP(A202,'[2]Contribution Allocation_Report'!$A$9:$D$310,4,FALSE)*'PY_OPEB Amounts'!$K$323,0)</f>
        <v>2049405</v>
      </c>
      <c r="L202" s="128">
        <f>INDEX('[2]Change in Proportion Layers'!$AA$8:$AA$321,MATCH('PY_OPEB Amounts'!A202,'[2]Change in Proportion Layers'!$A$8:$A$321,0))</f>
        <v>2828682</v>
      </c>
      <c r="M202" s="126">
        <f t="shared" si="7"/>
        <v>5944599</v>
      </c>
      <c r="N202" s="127"/>
      <c r="O202" s="127">
        <f>ROUND(VLOOKUP(A202,'[2]Contribution Allocation_Report'!$A$9:$D$310,4,FALSE)*'PY_OPEB Amounts'!$O$323,0)</f>
        <v>-610462</v>
      </c>
      <c r="P202" s="127">
        <f>INDEX('[2]Change in Proportion Layers'!$X$8:$X$321,MATCH('PY_OPEB Amounts'!A202,'[2]Change in Proportion Layers'!$A$8:$A$321,0))</f>
        <v>-320298</v>
      </c>
      <c r="Q202" s="127">
        <f t="shared" si="8"/>
        <v>-930760</v>
      </c>
    </row>
    <row r="203" spans="1:17" ht="12" customHeight="1">
      <c r="A203" s="166">
        <v>11035</v>
      </c>
      <c r="B203" s="167" t="s">
        <v>192</v>
      </c>
      <c r="C203" s="122">
        <f>ROUND(VLOOKUP(A203,'[2]Contribution Allocation_Report'!$A$9:$D$310,4,FALSE)*'PY_OPEB Amounts'!$C$323,0)</f>
        <v>13095263</v>
      </c>
      <c r="D203" s="122">
        <f>ROUND(VLOOKUP(A203,'[2]Contribution Allocation_Report'!$A$9:$D$310,4,FALSE)*'PY_OPEB Amounts'!$D$323,0)</f>
        <v>191470</v>
      </c>
      <c r="E203" s="122">
        <f>ROUND(VLOOKUP(A203,'[2]Contribution Allocation_Report'!$A$9:$D$310,4,FALSE)*'PY_OPEB Amounts'!$E$323,0)</f>
        <v>2621793</v>
      </c>
      <c r="F203" s="122">
        <f>INDEX('[2]Change in Proportion Layers'!$Z$8:$Z$321,MATCH('PY_OPEB Amounts'!A203,'[2]Change in Proportion Layers'!$A$8:$A$321,0))</f>
        <v>1615629</v>
      </c>
      <c r="G203" s="122">
        <f t="shared" ref="G203:G267" si="9">SUM(D203:F203)</f>
        <v>4428892</v>
      </c>
      <c r="H203" s="122"/>
      <c r="I203" s="122">
        <f>ROUND(VLOOKUP(A203,'[2]Contribution Allocation_Report'!$A$9:$D$310,4,FALSE)*'PY_OPEB Amounts'!$I$323,0)</f>
        <v>2088422</v>
      </c>
      <c r="J203" s="122">
        <f>ROUND(VLOOKUP(A203,'[2]Contribution Allocation_Report'!$A$9:$D$310,4,FALSE)*'PY_OPEB Amounts'!$J$323,0)</f>
        <v>375365</v>
      </c>
      <c r="K203" s="122">
        <f>ROUND(VLOOKUP(A203,'[2]Contribution Allocation_Report'!$A$9:$D$310,4,FALSE)*'PY_OPEB Amounts'!$K$323,0)</f>
        <v>4734402</v>
      </c>
      <c r="L203" s="122">
        <f>INDEX('[2]Change in Proportion Layers'!$AA$8:$AA$321,MATCH('PY_OPEB Amounts'!A203,'[2]Change in Proportion Layers'!$A$8:$A$321,0))</f>
        <v>93509</v>
      </c>
      <c r="M203" s="122">
        <f t="shared" ref="M203:M267" si="10">SUM(I203:L203)</f>
        <v>7291698</v>
      </c>
      <c r="N203" s="123"/>
      <c r="O203" s="123">
        <f>ROUND(VLOOKUP(A203,'[2]Contribution Allocation_Report'!$A$9:$D$310,4,FALSE)*'PY_OPEB Amounts'!$O$323,0)</f>
        <v>-1410250</v>
      </c>
      <c r="P203" s="123">
        <f>INDEX('[2]Change in Proportion Layers'!$X$8:$X$321,MATCH('PY_OPEB Amounts'!A203,'[2]Change in Proportion Layers'!$A$8:$A$321,0))</f>
        <v>388231</v>
      </c>
      <c r="Q203" s="123">
        <f t="shared" ref="Q203:Q266" si="11">+O203+P203</f>
        <v>-1022019</v>
      </c>
    </row>
    <row r="204" spans="1:17" ht="12" customHeight="1">
      <c r="A204" s="164">
        <v>2320</v>
      </c>
      <c r="B204" s="168" t="s">
        <v>193</v>
      </c>
      <c r="C204" s="120">
        <f>ROUND(VLOOKUP(A204,'[2]Contribution Allocation_Report'!$A$9:$D$310,4,FALSE)*'PY_OPEB Amounts'!$C$323,0)</f>
        <v>1573116</v>
      </c>
      <c r="D204" s="120">
        <f>ROUND(VLOOKUP(A204,'[2]Contribution Allocation_Report'!$A$9:$D$310,4,FALSE)*'PY_OPEB Amounts'!$D$323,0)</f>
        <v>23001</v>
      </c>
      <c r="E204" s="120">
        <f>ROUND(VLOOKUP(A204,'[2]Contribution Allocation_Report'!$A$9:$D$310,4,FALSE)*'PY_OPEB Amounts'!$E$323,0)</f>
        <v>314952</v>
      </c>
      <c r="F204" s="120">
        <f>INDEX('[2]Change in Proportion Layers'!$Z$8:$Z$321,MATCH('PY_OPEB Amounts'!A204,'[2]Change in Proportion Layers'!$A$8:$A$321,0))</f>
        <v>71991</v>
      </c>
      <c r="G204" s="120">
        <f t="shared" si="9"/>
        <v>409944</v>
      </c>
      <c r="H204" s="120"/>
      <c r="I204" s="120">
        <f>ROUND(VLOOKUP(A204,'[2]Contribution Allocation_Report'!$A$9:$D$310,4,FALSE)*'PY_OPEB Amounts'!$I$323,0)</f>
        <v>250879</v>
      </c>
      <c r="J204" s="120">
        <f>ROUND(VLOOKUP(A204,'[2]Contribution Allocation_Report'!$A$9:$D$310,4,FALSE)*'PY_OPEB Amounts'!$J$323,0)</f>
        <v>45092</v>
      </c>
      <c r="K204" s="120">
        <f>ROUND(VLOOKUP(A204,'[2]Contribution Allocation_Report'!$A$9:$D$310,4,FALSE)*'PY_OPEB Amounts'!$K$323,0)</f>
        <v>568737</v>
      </c>
      <c r="L204" s="120">
        <f>INDEX('[2]Change in Proportion Layers'!$AA$8:$AA$321,MATCH('PY_OPEB Amounts'!A204,'[2]Change in Proportion Layers'!$A$8:$A$321,0))</f>
        <v>31728</v>
      </c>
      <c r="M204" s="120">
        <f t="shared" si="10"/>
        <v>896436</v>
      </c>
      <c r="N204" s="121"/>
      <c r="O204" s="121">
        <f>ROUND(VLOOKUP(A204,'[2]Contribution Allocation_Report'!$A$9:$D$310,4,FALSE)*'PY_OPEB Amounts'!$O$323,0)</f>
        <v>-169411</v>
      </c>
      <c r="P204" s="121">
        <f>INDEX('[2]Change in Proportion Layers'!$X$8:$X$321,MATCH('PY_OPEB Amounts'!A204,'[2]Change in Proportion Layers'!$A$8:$A$321,0))</f>
        <v>3126</v>
      </c>
      <c r="Q204" s="121">
        <f t="shared" si="11"/>
        <v>-166285</v>
      </c>
    </row>
    <row r="205" spans="1:17" ht="12" customHeight="1">
      <c r="A205" s="166">
        <v>28084</v>
      </c>
      <c r="B205" s="167" t="s">
        <v>194</v>
      </c>
      <c r="C205" s="122">
        <f>ROUND(VLOOKUP(A205,'[2]Contribution Allocation_Report'!$A$9:$D$310,4,FALSE)*'PY_OPEB Amounts'!$C$323,0)</f>
        <v>1243752</v>
      </c>
      <c r="D205" s="122">
        <f>ROUND(VLOOKUP(A205,'[2]Contribution Allocation_Report'!$A$9:$D$310,4,FALSE)*'PY_OPEB Amounts'!$D$323,0)</f>
        <v>18185</v>
      </c>
      <c r="E205" s="122">
        <f>ROUND(VLOOKUP(A205,'[2]Contribution Allocation_Report'!$A$9:$D$310,4,FALSE)*'PY_OPEB Amounts'!$E$323,0)</f>
        <v>249011</v>
      </c>
      <c r="F205" s="122">
        <f>INDEX('[2]Change in Proportion Layers'!$Z$8:$Z$321,MATCH('PY_OPEB Amounts'!A205,'[2]Change in Proportion Layers'!$A$8:$A$321,0))</f>
        <v>102618</v>
      </c>
      <c r="G205" s="122">
        <f t="shared" si="9"/>
        <v>369814</v>
      </c>
      <c r="H205" s="122"/>
      <c r="I205" s="122">
        <f>ROUND(VLOOKUP(A205,'[2]Contribution Allocation_Report'!$A$9:$D$310,4,FALSE)*'PY_OPEB Amounts'!$I$323,0)</f>
        <v>198353</v>
      </c>
      <c r="J205" s="122">
        <f>ROUND(VLOOKUP(A205,'[2]Contribution Allocation_Report'!$A$9:$D$310,4,FALSE)*'PY_OPEB Amounts'!$J$323,0)</f>
        <v>35651</v>
      </c>
      <c r="K205" s="122">
        <f>ROUND(VLOOKUP(A205,'[2]Contribution Allocation_Report'!$A$9:$D$310,4,FALSE)*'PY_OPEB Amounts'!$K$323,0)</f>
        <v>449661</v>
      </c>
      <c r="L205" s="122">
        <f>INDEX('[2]Change in Proportion Layers'!$AA$8:$AA$321,MATCH('PY_OPEB Amounts'!A205,'[2]Change in Proportion Layers'!$A$8:$A$321,0))</f>
        <v>27919</v>
      </c>
      <c r="M205" s="122">
        <f t="shared" si="10"/>
        <v>711584</v>
      </c>
      <c r="N205" s="123"/>
      <c r="O205" s="123">
        <f>ROUND(VLOOKUP(A205,'[2]Contribution Allocation_Report'!$A$9:$D$310,4,FALSE)*'PY_OPEB Amounts'!$O$323,0)</f>
        <v>-133942</v>
      </c>
      <c r="P205" s="123">
        <f>INDEX('[2]Change in Proportion Layers'!$X$8:$X$321,MATCH('PY_OPEB Amounts'!A205,'[2]Change in Proportion Layers'!$A$8:$A$321,0))</f>
        <v>19063</v>
      </c>
      <c r="Q205" s="123">
        <f t="shared" si="11"/>
        <v>-114879</v>
      </c>
    </row>
    <row r="206" spans="1:17" ht="12" customHeight="1">
      <c r="A206" s="164">
        <v>20125</v>
      </c>
      <c r="B206" s="168" t="s">
        <v>195</v>
      </c>
      <c r="C206" s="120">
        <f>ROUND(VLOOKUP(A206,'[2]Contribution Allocation_Report'!$A$9:$D$310,4,FALSE)*'PY_OPEB Amounts'!$C$323,0)</f>
        <v>1454006</v>
      </c>
      <c r="D206" s="120">
        <f>ROUND(VLOOKUP(A206,'[2]Contribution Allocation_Report'!$A$9:$D$310,4,FALSE)*'PY_OPEB Amounts'!$D$323,0)</f>
        <v>21259</v>
      </c>
      <c r="E206" s="120">
        <f>ROUND(VLOOKUP(A206,'[2]Contribution Allocation_Report'!$A$9:$D$310,4,FALSE)*'PY_OPEB Amounts'!$E$323,0)</f>
        <v>291105</v>
      </c>
      <c r="F206" s="120">
        <f>INDEX('[2]Change in Proportion Layers'!$Z$8:$Z$321,MATCH('PY_OPEB Amounts'!A206,'[2]Change in Proportion Layers'!$A$8:$A$321,0))</f>
        <v>0</v>
      </c>
      <c r="G206" s="120">
        <f t="shared" si="9"/>
        <v>312364</v>
      </c>
      <c r="H206" s="120"/>
      <c r="I206" s="120">
        <f>ROUND(VLOOKUP(A206,'[2]Contribution Allocation_Report'!$A$9:$D$310,4,FALSE)*'PY_OPEB Amounts'!$I$323,0)</f>
        <v>231884</v>
      </c>
      <c r="J206" s="120">
        <f>ROUND(VLOOKUP(A206,'[2]Contribution Allocation_Report'!$A$9:$D$310,4,FALSE)*'PY_OPEB Amounts'!$J$323,0)</f>
        <v>41678</v>
      </c>
      <c r="K206" s="120">
        <f>ROUND(VLOOKUP(A206,'[2]Contribution Allocation_Report'!$A$9:$D$310,4,FALSE)*'PY_OPEB Amounts'!$K$323,0)</f>
        <v>525675</v>
      </c>
      <c r="L206" s="120">
        <f>INDEX('[2]Change in Proportion Layers'!$AA$8:$AA$321,MATCH('PY_OPEB Amounts'!A206,'[2]Change in Proportion Layers'!$A$8:$A$321,0))</f>
        <v>698219</v>
      </c>
      <c r="M206" s="120">
        <f t="shared" si="10"/>
        <v>1497456</v>
      </c>
      <c r="N206" s="121"/>
      <c r="O206" s="121">
        <f>ROUND(VLOOKUP(A206,'[2]Contribution Allocation_Report'!$A$9:$D$310,4,FALSE)*'PY_OPEB Amounts'!$O$323,0)</f>
        <v>-156584</v>
      </c>
      <c r="P206" s="121">
        <f>INDEX('[2]Change in Proportion Layers'!$X$8:$X$321,MATCH('PY_OPEB Amounts'!A206,'[2]Change in Proportion Layers'!$A$8:$A$321,0))</f>
        <v>-199717</v>
      </c>
      <c r="Q206" s="121">
        <f t="shared" si="11"/>
        <v>-356301</v>
      </c>
    </row>
    <row r="207" spans="1:17" ht="12" customHeight="1">
      <c r="A207" s="166">
        <v>7445</v>
      </c>
      <c r="B207" s="167" t="s">
        <v>428</v>
      </c>
      <c r="C207" s="122">
        <f>ROUND(VLOOKUP(A207,'[2]Contribution Allocation_Report'!$A$9:$D$310,4,FALSE)*'PY_OPEB Amounts'!$C$323,0)</f>
        <v>332654</v>
      </c>
      <c r="D207" s="122">
        <f>ROUND(VLOOKUP(A207,'[2]Contribution Allocation_Report'!$A$9:$D$310,4,FALSE)*'PY_OPEB Amounts'!$D$323,0)</f>
        <v>4864</v>
      </c>
      <c r="E207" s="122">
        <f>ROUND(VLOOKUP(A207,'[2]Contribution Allocation_Report'!$A$9:$D$310,4,FALSE)*'PY_OPEB Amounts'!$E$323,0)</f>
        <v>66600</v>
      </c>
      <c r="F207" s="122">
        <f>INDEX('[2]Change in Proportion Layers'!$Z$8:$Z$321,MATCH('PY_OPEB Amounts'!A207,'[2]Change in Proportion Layers'!$A$8:$A$321,0))</f>
        <v>375379</v>
      </c>
      <c r="G207" s="122">
        <f t="shared" si="9"/>
        <v>446843</v>
      </c>
      <c r="H207" s="122"/>
      <c r="I207" s="122">
        <f>ROUND(VLOOKUP(A207,'[2]Contribution Allocation_Report'!$A$9:$D$310,4,FALSE)*'PY_OPEB Amounts'!$I$323,0)</f>
        <v>53051</v>
      </c>
      <c r="J207" s="122">
        <f>ROUND(VLOOKUP(A207,'[2]Contribution Allocation_Report'!$A$9:$D$310,4,FALSE)*'PY_OPEB Amounts'!$J$323,0)</f>
        <v>9535</v>
      </c>
      <c r="K207" s="122">
        <f>ROUND(VLOOKUP(A207,'[2]Contribution Allocation_Report'!$A$9:$D$310,4,FALSE)*'PY_OPEB Amounts'!$K$323,0)</f>
        <v>120266</v>
      </c>
      <c r="L207" s="122">
        <f>INDEX('[2]Change in Proportion Layers'!$AA$8:$AA$321,MATCH('PY_OPEB Amounts'!A207,'[2]Change in Proportion Layers'!$A$8:$A$321,0))</f>
        <v>0</v>
      </c>
      <c r="M207" s="122">
        <f t="shared" si="10"/>
        <v>182852</v>
      </c>
      <c r="N207" s="123"/>
      <c r="O207" s="123">
        <f>ROUND(VLOOKUP(A207,'[2]Contribution Allocation_Report'!$A$9:$D$310,4,FALSE)*'PY_OPEB Amounts'!$O$323,0)</f>
        <v>-35824</v>
      </c>
      <c r="P207" s="123">
        <f>INDEX('[2]Change in Proportion Layers'!$X$8:$X$321,MATCH('PY_OPEB Amounts'!A207,'[2]Change in Proportion Layers'!$A$8:$A$321,0))</f>
        <v>84447</v>
      </c>
      <c r="Q207" s="123">
        <f t="shared" si="11"/>
        <v>48623</v>
      </c>
    </row>
    <row r="208" spans="1:17" ht="12" customHeight="1">
      <c r="A208" s="164">
        <v>4170</v>
      </c>
      <c r="B208" s="168" t="s">
        <v>196</v>
      </c>
      <c r="C208" s="120">
        <f>ROUND(VLOOKUP(A208,'[2]Contribution Allocation_Report'!$A$9:$D$310,4,FALSE)*'PY_OPEB Amounts'!$C$323,0)</f>
        <v>71072</v>
      </c>
      <c r="D208" s="120">
        <f>ROUND(VLOOKUP(A208,'[2]Contribution Allocation_Report'!$A$9:$D$310,4,FALSE)*'PY_OPEB Amounts'!$D$323,0)</f>
        <v>1039</v>
      </c>
      <c r="E208" s="120">
        <f>ROUND(VLOOKUP(A208,'[2]Contribution Allocation_Report'!$A$9:$D$310,4,FALSE)*'PY_OPEB Amounts'!$E$323,0)</f>
        <v>14229</v>
      </c>
      <c r="F208" s="130">
        <f>INDEX('[2]Change in Proportion Layers'!$Z$8:$Z$321,MATCH('PY_OPEB Amounts'!A208,'[2]Change in Proportion Layers'!$A$8:$A$321,0))</f>
        <v>29456</v>
      </c>
      <c r="G208" s="120">
        <f t="shared" si="9"/>
        <v>44724</v>
      </c>
      <c r="H208" s="120"/>
      <c r="I208" s="120">
        <f>ROUND(VLOOKUP(A208,'[2]Contribution Allocation_Report'!$A$9:$D$310,4,FALSE)*'PY_OPEB Amounts'!$I$323,0)</f>
        <v>11334</v>
      </c>
      <c r="J208" s="120">
        <f>ROUND(VLOOKUP(A208,'[2]Contribution Allocation_Report'!$A$9:$D$310,4,FALSE)*'PY_OPEB Amounts'!$J$323,0)</f>
        <v>2037</v>
      </c>
      <c r="K208" s="120">
        <f>ROUND(VLOOKUP(A208,'[2]Contribution Allocation_Report'!$A$9:$D$310,4,FALSE)*'PY_OPEB Amounts'!$K$323,0)</f>
        <v>25695</v>
      </c>
      <c r="L208" s="120">
        <f>INDEX('[2]Change in Proportion Layers'!$AA$8:$AA$321,MATCH('PY_OPEB Amounts'!A208,'[2]Change in Proportion Layers'!$A$8:$A$321,0))</f>
        <v>233690</v>
      </c>
      <c r="M208" s="120">
        <f t="shared" si="10"/>
        <v>272756</v>
      </c>
      <c r="N208" s="121"/>
      <c r="O208" s="121">
        <f>ROUND(VLOOKUP(A208,'[2]Contribution Allocation_Report'!$A$9:$D$310,4,FALSE)*'PY_OPEB Amounts'!$O$323,0)</f>
        <v>-7654</v>
      </c>
      <c r="P208" s="121">
        <f>INDEX('[2]Change in Proportion Layers'!$X$8:$X$321,MATCH('PY_OPEB Amounts'!A208,'[2]Change in Proportion Layers'!$A$8:$A$321,0))</f>
        <v>-41816</v>
      </c>
      <c r="Q208" s="121">
        <f t="shared" si="11"/>
        <v>-49470</v>
      </c>
    </row>
    <row r="209" spans="1:17" ht="12" customHeight="1">
      <c r="A209" s="166">
        <v>9029</v>
      </c>
      <c r="B209" s="167" t="s">
        <v>197</v>
      </c>
      <c r="C209" s="122">
        <f>ROUND(VLOOKUP(A209,'[2]Contribution Allocation_Report'!$A$9:$D$310,4,FALSE)*'PY_OPEB Amounts'!$C$323,0)</f>
        <v>3860238</v>
      </c>
      <c r="D209" s="122">
        <f>ROUND(VLOOKUP(A209,'[2]Contribution Allocation_Report'!$A$9:$D$310,4,FALSE)*'PY_OPEB Amounts'!$D$323,0)</f>
        <v>56442</v>
      </c>
      <c r="E209" s="122">
        <f>ROUND(VLOOKUP(A209,'[2]Contribution Allocation_Report'!$A$9:$D$310,4,FALSE)*'PY_OPEB Amounts'!$E$323,0)</f>
        <v>772855</v>
      </c>
      <c r="F209" s="122">
        <f>INDEX('[2]Change in Proportion Layers'!$Z$8:$Z$321,MATCH('PY_OPEB Amounts'!A209,'[2]Change in Proportion Layers'!$A$8:$A$321,0))</f>
        <v>765454</v>
      </c>
      <c r="G209" s="122">
        <f t="shared" si="9"/>
        <v>1594751</v>
      </c>
      <c r="H209" s="122"/>
      <c r="I209" s="122">
        <f>ROUND(VLOOKUP(A209,'[2]Contribution Allocation_Report'!$A$9:$D$310,4,FALSE)*'PY_OPEB Amounts'!$I$323,0)</f>
        <v>615628</v>
      </c>
      <c r="J209" s="122">
        <f>ROUND(VLOOKUP(A209,'[2]Contribution Allocation_Report'!$A$9:$D$310,4,FALSE)*'PY_OPEB Amounts'!$J$323,0)</f>
        <v>110650</v>
      </c>
      <c r="K209" s="122">
        <f>ROUND(VLOOKUP(A209,'[2]Contribution Allocation_Report'!$A$9:$D$310,4,FALSE)*'PY_OPEB Amounts'!$K$323,0)</f>
        <v>1395613</v>
      </c>
      <c r="L209" s="131">
        <f>INDEX('[2]Change in Proportion Layers'!$AA$8:$AA$321,MATCH('PY_OPEB Amounts'!A209,'[2]Change in Proportion Layers'!$A$8:$A$321,0))</f>
        <v>759892</v>
      </c>
      <c r="M209" s="122">
        <f t="shared" si="10"/>
        <v>2881783</v>
      </c>
      <c r="N209" s="123"/>
      <c r="O209" s="123">
        <f>ROUND(VLOOKUP(A209,'[2]Contribution Allocation_Report'!$A$9:$D$310,4,FALSE)*'PY_OPEB Amounts'!$O$323,0)</f>
        <v>-415715</v>
      </c>
      <c r="P209" s="123">
        <f>INDEX('[2]Change in Proportion Layers'!$X$8:$X$321,MATCH('PY_OPEB Amounts'!A209,'[2]Change in Proportion Layers'!$A$8:$A$321,0))</f>
        <v>-152684</v>
      </c>
      <c r="Q209" s="123">
        <f t="shared" si="11"/>
        <v>-568399</v>
      </c>
    </row>
    <row r="210" spans="1:17" ht="12" customHeight="1">
      <c r="A210" s="164">
        <v>2580</v>
      </c>
      <c r="B210" s="168" t="s">
        <v>198</v>
      </c>
      <c r="C210" s="120">
        <f>ROUND(VLOOKUP(A210,'[2]Contribution Allocation_Report'!$A$9:$D$310,4,FALSE)*'PY_OPEB Amounts'!$C$323,0)</f>
        <v>559030</v>
      </c>
      <c r="D210" s="120">
        <f>ROUND(VLOOKUP(A210,'[2]Contribution Allocation_Report'!$A$9:$D$310,4,FALSE)*'PY_OPEB Amounts'!$D$323,0)</f>
        <v>8174</v>
      </c>
      <c r="E210" s="120">
        <f>ROUND(VLOOKUP(A210,'[2]Contribution Allocation_Report'!$A$9:$D$310,4,FALSE)*'PY_OPEB Amounts'!$E$323,0)</f>
        <v>111923</v>
      </c>
      <c r="F210" s="130">
        <f>INDEX('[2]Change in Proportion Layers'!$Z$8:$Z$321,MATCH('PY_OPEB Amounts'!A210,'[2]Change in Proportion Layers'!$A$8:$A$321,0))</f>
        <v>25644</v>
      </c>
      <c r="G210" s="120">
        <f t="shared" si="9"/>
        <v>145741</v>
      </c>
      <c r="H210" s="120"/>
      <c r="I210" s="120">
        <f>ROUND(VLOOKUP(A210,'[2]Contribution Allocation_Report'!$A$9:$D$310,4,FALSE)*'PY_OPEB Amounts'!$I$323,0)</f>
        <v>89154</v>
      </c>
      <c r="J210" s="120">
        <f>ROUND(VLOOKUP(A210,'[2]Contribution Allocation_Report'!$A$9:$D$310,4,FALSE)*'PY_OPEB Amounts'!$J$323,0)</f>
        <v>16024</v>
      </c>
      <c r="K210" s="120">
        <f>ROUND(VLOOKUP(A210,'[2]Contribution Allocation_Report'!$A$9:$D$310,4,FALSE)*'PY_OPEB Amounts'!$K$323,0)</f>
        <v>202109</v>
      </c>
      <c r="L210" s="120">
        <f>INDEX('[2]Change in Proportion Layers'!$AA$8:$AA$321,MATCH('PY_OPEB Amounts'!A210,'[2]Change in Proportion Layers'!$A$8:$A$321,0))</f>
        <v>95606</v>
      </c>
      <c r="M210" s="120">
        <f t="shared" si="10"/>
        <v>402893</v>
      </c>
      <c r="N210" s="121"/>
      <c r="O210" s="121">
        <f>ROUND(VLOOKUP(A210,'[2]Contribution Allocation_Report'!$A$9:$D$310,4,FALSE)*'PY_OPEB Amounts'!$O$323,0)</f>
        <v>-60203</v>
      </c>
      <c r="P210" s="121">
        <f>INDEX('[2]Change in Proportion Layers'!$X$8:$X$321,MATCH('PY_OPEB Amounts'!A210,'[2]Change in Proportion Layers'!$A$8:$A$321,0))</f>
        <v>-10416</v>
      </c>
      <c r="Q210" s="121">
        <f t="shared" si="11"/>
        <v>-70619</v>
      </c>
    </row>
    <row r="211" spans="1:17" ht="12" customHeight="1">
      <c r="A211" s="166">
        <v>20312</v>
      </c>
      <c r="B211" s="167" t="s">
        <v>199</v>
      </c>
      <c r="C211" s="122">
        <f>ROUND(VLOOKUP(A211,'[2]Contribution Allocation_Report'!$A$9:$D$310,4,FALSE)*'PY_OPEB Amounts'!$C$323,0)</f>
        <v>423139</v>
      </c>
      <c r="D211" s="122">
        <f>ROUND(VLOOKUP(A211,'[2]Contribution Allocation_Report'!$A$9:$D$310,4,FALSE)*'PY_OPEB Amounts'!$D$323,0)</f>
        <v>6187</v>
      </c>
      <c r="E211" s="122">
        <f>ROUND(VLOOKUP(A211,'[2]Contribution Allocation_Report'!$A$9:$D$310,4,FALSE)*'PY_OPEB Amounts'!$E$323,0)</f>
        <v>84716</v>
      </c>
      <c r="F211" s="122">
        <f>INDEX('[2]Change in Proportion Layers'!$Z$8:$Z$321,MATCH('PY_OPEB Amounts'!A211,'[2]Change in Proportion Layers'!$A$8:$A$321,0))</f>
        <v>94177</v>
      </c>
      <c r="G211" s="122">
        <f t="shared" si="9"/>
        <v>185080</v>
      </c>
      <c r="H211" s="122"/>
      <c r="I211" s="122">
        <f>ROUND(VLOOKUP(A211,'[2]Contribution Allocation_Report'!$A$9:$D$310,4,FALSE)*'PY_OPEB Amounts'!$I$323,0)</f>
        <v>67482</v>
      </c>
      <c r="J211" s="122">
        <f>ROUND(VLOOKUP(A211,'[2]Contribution Allocation_Report'!$A$9:$D$310,4,FALSE)*'PY_OPEB Amounts'!$J$323,0)</f>
        <v>12129</v>
      </c>
      <c r="K211" s="122">
        <f>ROUND(VLOOKUP(A211,'[2]Contribution Allocation_Report'!$A$9:$D$310,4,FALSE)*'PY_OPEB Amounts'!$K$323,0)</f>
        <v>152980</v>
      </c>
      <c r="L211" s="122">
        <f>INDEX('[2]Change in Proportion Layers'!$AA$8:$AA$321,MATCH('PY_OPEB Amounts'!A211,'[2]Change in Proportion Layers'!$A$8:$A$321,0))</f>
        <v>14386</v>
      </c>
      <c r="M211" s="122">
        <f t="shared" si="10"/>
        <v>246977</v>
      </c>
      <c r="N211" s="123"/>
      <c r="O211" s="123">
        <f>ROUND(VLOOKUP(A211,'[2]Contribution Allocation_Report'!$A$9:$D$310,4,FALSE)*'PY_OPEB Amounts'!$O$323,0)</f>
        <v>-45569</v>
      </c>
      <c r="P211" s="123">
        <f>INDEX('[2]Change in Proportion Layers'!$X$8:$X$321,MATCH('PY_OPEB Amounts'!A211,'[2]Change in Proportion Layers'!$A$8:$A$321,0))</f>
        <v>17675</v>
      </c>
      <c r="Q211" s="123">
        <f t="shared" si="11"/>
        <v>-27894</v>
      </c>
    </row>
    <row r="212" spans="1:17" ht="12" customHeight="1">
      <c r="A212" s="164">
        <v>26150</v>
      </c>
      <c r="B212" s="168" t="s">
        <v>200</v>
      </c>
      <c r="C212" s="120">
        <f>ROUND(VLOOKUP(A212,'[2]Contribution Allocation_Report'!$A$9:$D$310,4,FALSE)*'PY_OPEB Amounts'!$C$323,0)</f>
        <v>2789888</v>
      </c>
      <c r="D212" s="120">
        <f>ROUND(VLOOKUP(A212,'[2]Contribution Allocation_Report'!$A$9:$D$310,4,FALSE)*'PY_OPEB Amounts'!$D$323,0)</f>
        <v>40792</v>
      </c>
      <c r="E212" s="120">
        <f>ROUND(VLOOKUP(A212,'[2]Contribution Allocation_Report'!$A$9:$D$310,4,FALSE)*'PY_OPEB Amounts'!$E$323,0)</f>
        <v>558561</v>
      </c>
      <c r="F212" s="120">
        <f>INDEX('[2]Change in Proportion Layers'!$Z$8:$Z$321,MATCH('PY_OPEB Amounts'!A212,'[2]Change in Proportion Layers'!$A$8:$A$321,0))</f>
        <v>551202</v>
      </c>
      <c r="G212" s="120">
        <f t="shared" si="9"/>
        <v>1150555</v>
      </c>
      <c r="H212" s="120"/>
      <c r="I212" s="120">
        <f>ROUND(VLOOKUP(A212,'[2]Contribution Allocation_Report'!$A$9:$D$310,4,FALSE)*'PY_OPEB Amounts'!$I$323,0)</f>
        <v>444929</v>
      </c>
      <c r="J212" s="120">
        <f>ROUND(VLOOKUP(A212,'[2]Contribution Allocation_Report'!$A$9:$D$310,4,FALSE)*'PY_OPEB Amounts'!$J$323,0)</f>
        <v>79970</v>
      </c>
      <c r="K212" s="120">
        <f>ROUND(VLOOKUP(A212,'[2]Contribution Allocation_Report'!$A$9:$D$310,4,FALSE)*'PY_OPEB Amounts'!$K$323,0)</f>
        <v>1008643</v>
      </c>
      <c r="L212" s="120">
        <f>INDEX('[2]Change in Proportion Layers'!$AA$8:$AA$321,MATCH('PY_OPEB Amounts'!A212,'[2]Change in Proportion Layers'!$A$8:$A$321,0))</f>
        <v>76632</v>
      </c>
      <c r="M212" s="120">
        <f t="shared" si="10"/>
        <v>1610174</v>
      </c>
      <c r="N212" s="121"/>
      <c r="O212" s="121">
        <f>ROUND(VLOOKUP(A212,'[2]Contribution Allocation_Report'!$A$9:$D$310,4,FALSE)*'PY_OPEB Amounts'!$O$323,0)</f>
        <v>-300448</v>
      </c>
      <c r="P212" s="121">
        <f>INDEX('[2]Change in Proportion Layers'!$X$8:$X$321,MATCH('PY_OPEB Amounts'!A212,'[2]Change in Proportion Layers'!$A$8:$A$321,0))</f>
        <v>226962</v>
      </c>
      <c r="Q212" s="121">
        <f t="shared" si="11"/>
        <v>-73486</v>
      </c>
    </row>
    <row r="213" spans="1:17" ht="12" customHeight="1">
      <c r="A213" s="166">
        <v>5016</v>
      </c>
      <c r="B213" s="167" t="s">
        <v>201</v>
      </c>
      <c r="C213" s="122">
        <f>ROUND(VLOOKUP(A213,'[2]Contribution Allocation_Report'!$A$9:$D$310,4,FALSE)*'PY_OPEB Amounts'!$C$323,0)</f>
        <v>323441</v>
      </c>
      <c r="D213" s="122">
        <f>ROUND(VLOOKUP(A213,'[2]Contribution Allocation_Report'!$A$9:$D$310,4,FALSE)*'PY_OPEB Amounts'!$D$323,0)</f>
        <v>4729</v>
      </c>
      <c r="E213" s="122">
        <f>ROUND(VLOOKUP(A213,'[2]Contribution Allocation_Report'!$A$9:$D$310,4,FALSE)*'PY_OPEB Amounts'!$E$323,0)</f>
        <v>64756</v>
      </c>
      <c r="F213" s="122">
        <f>INDEX('[2]Change in Proportion Layers'!$Z$8:$Z$321,MATCH('PY_OPEB Amounts'!A213,'[2]Change in Proportion Layers'!$A$8:$A$321,0))</f>
        <v>38277</v>
      </c>
      <c r="G213" s="122">
        <f t="shared" si="9"/>
        <v>107762</v>
      </c>
      <c r="H213" s="122"/>
      <c r="I213" s="122">
        <f>ROUND(VLOOKUP(A213,'[2]Contribution Allocation_Report'!$A$9:$D$310,4,FALSE)*'PY_OPEB Amounts'!$I$323,0)</f>
        <v>51582</v>
      </c>
      <c r="J213" s="122">
        <f>ROUND(VLOOKUP(A213,'[2]Contribution Allocation_Report'!$A$9:$D$310,4,FALSE)*'PY_OPEB Amounts'!$J$323,0)</f>
        <v>9271</v>
      </c>
      <c r="K213" s="122">
        <f>ROUND(VLOOKUP(A213,'[2]Contribution Allocation_Report'!$A$9:$D$310,4,FALSE)*'PY_OPEB Amounts'!$K$323,0)</f>
        <v>116936</v>
      </c>
      <c r="L213" s="122">
        <f>INDEX('[2]Change in Proportion Layers'!$AA$8:$AA$321,MATCH('PY_OPEB Amounts'!A213,'[2]Change in Proportion Layers'!$A$8:$A$321,0))</f>
        <v>87549</v>
      </c>
      <c r="M213" s="122">
        <f t="shared" si="10"/>
        <v>265338</v>
      </c>
      <c r="N213" s="123"/>
      <c r="O213" s="123">
        <f>ROUND(VLOOKUP(A213,'[2]Contribution Allocation_Report'!$A$9:$D$310,4,FALSE)*'PY_OPEB Amounts'!$O$323,0)</f>
        <v>-34832</v>
      </c>
      <c r="P213" s="123">
        <f>INDEX('[2]Change in Proportion Layers'!$X$8:$X$321,MATCH('PY_OPEB Amounts'!A213,'[2]Change in Proportion Layers'!$A$8:$A$321,0))</f>
        <v>-4460</v>
      </c>
      <c r="Q213" s="123">
        <f t="shared" si="11"/>
        <v>-39292</v>
      </c>
    </row>
    <row r="214" spans="1:17" ht="12" customHeight="1">
      <c r="A214" s="164">
        <v>6150</v>
      </c>
      <c r="B214" s="168" t="s">
        <v>202</v>
      </c>
      <c r="C214" s="120">
        <f>ROUND(VLOOKUP(A214,'[2]Contribution Allocation_Report'!$A$9:$D$310,4,FALSE)*'PY_OPEB Amounts'!$C$323,0)</f>
        <v>268493</v>
      </c>
      <c r="D214" s="120">
        <f>ROUND(VLOOKUP(A214,'[2]Contribution Allocation_Report'!$A$9:$D$310,4,FALSE)*'PY_OPEB Amounts'!$D$323,0)</f>
        <v>3926</v>
      </c>
      <c r="E214" s="120">
        <f>ROUND(VLOOKUP(A214,'[2]Contribution Allocation_Report'!$A$9:$D$310,4,FALSE)*'PY_OPEB Amounts'!$E$323,0)</f>
        <v>53755</v>
      </c>
      <c r="F214" s="120">
        <f>INDEX('[2]Change in Proportion Layers'!$Z$8:$Z$321,MATCH('PY_OPEB Amounts'!A214,'[2]Change in Proportion Layers'!$A$8:$A$321,0))</f>
        <v>171811</v>
      </c>
      <c r="G214" s="120">
        <f t="shared" si="9"/>
        <v>229492</v>
      </c>
      <c r="H214" s="120"/>
      <c r="I214" s="120">
        <f>ROUND(VLOOKUP(A214,'[2]Contribution Allocation_Report'!$A$9:$D$310,4,FALSE)*'PY_OPEB Amounts'!$I$323,0)</f>
        <v>42819</v>
      </c>
      <c r="J214" s="120">
        <f>ROUND(VLOOKUP(A214,'[2]Contribution Allocation_Report'!$A$9:$D$310,4,FALSE)*'PY_OPEB Amounts'!$J$323,0)</f>
        <v>7696</v>
      </c>
      <c r="K214" s="120">
        <f>ROUND(VLOOKUP(A214,'[2]Contribution Allocation_Report'!$A$9:$D$310,4,FALSE)*'PY_OPEB Amounts'!$K$323,0)</f>
        <v>97070</v>
      </c>
      <c r="L214" s="130">
        <f>INDEX('[2]Change in Proportion Layers'!$AA$8:$AA$321,MATCH('PY_OPEB Amounts'!A214,'[2]Change in Proportion Layers'!$A$8:$A$321,0))</f>
        <v>40333</v>
      </c>
      <c r="M214" s="120">
        <f t="shared" si="10"/>
        <v>187918</v>
      </c>
      <c r="N214" s="121"/>
      <c r="O214" s="121">
        <f>ROUND(VLOOKUP(A214,'[2]Contribution Allocation_Report'!$A$9:$D$310,4,FALSE)*'PY_OPEB Amounts'!$O$323,0)</f>
        <v>-28914</v>
      </c>
      <c r="P214" s="121">
        <f>INDEX('[2]Change in Proportion Layers'!$X$8:$X$321,MATCH('PY_OPEB Amounts'!A214,'[2]Change in Proportion Layers'!$A$8:$A$321,0))</f>
        <v>62417</v>
      </c>
      <c r="Q214" s="121">
        <f t="shared" si="11"/>
        <v>33503</v>
      </c>
    </row>
    <row r="215" spans="1:17" ht="12" customHeight="1">
      <c r="A215" s="166">
        <v>4480</v>
      </c>
      <c r="B215" s="167" t="s">
        <v>203</v>
      </c>
      <c r="C215" s="122">
        <f>ROUND(VLOOKUP(A215,'[2]Contribution Allocation_Report'!$A$9:$D$310,4,FALSE)*'PY_OPEB Amounts'!$C$323,0)</f>
        <v>551134</v>
      </c>
      <c r="D215" s="122">
        <f>ROUND(VLOOKUP(A215,'[2]Contribution Allocation_Report'!$A$9:$D$310,4,FALSE)*'PY_OPEB Amounts'!$D$323,0)</f>
        <v>8058</v>
      </c>
      <c r="E215" s="122">
        <f>ROUND(VLOOKUP(A215,'[2]Contribution Allocation_Report'!$A$9:$D$310,4,FALSE)*'PY_OPEB Amounts'!$E$323,0)</f>
        <v>110342</v>
      </c>
      <c r="F215" s="122">
        <f>INDEX('[2]Change in Proportion Layers'!$Z$8:$Z$321,MATCH('PY_OPEB Amounts'!A215,'[2]Change in Proportion Layers'!$A$8:$A$321,0))</f>
        <v>19467</v>
      </c>
      <c r="G215" s="122">
        <f t="shared" si="9"/>
        <v>137867</v>
      </c>
      <c r="H215" s="122"/>
      <c r="I215" s="122">
        <f>ROUND(VLOOKUP(A215,'[2]Contribution Allocation_Report'!$A$9:$D$310,4,FALSE)*'PY_OPEB Amounts'!$I$323,0)</f>
        <v>87894</v>
      </c>
      <c r="J215" s="122">
        <f>ROUND(VLOOKUP(A215,'[2]Contribution Allocation_Report'!$A$9:$D$310,4,FALSE)*'PY_OPEB Amounts'!$J$323,0)</f>
        <v>15798</v>
      </c>
      <c r="K215" s="122">
        <f>ROUND(VLOOKUP(A215,'[2]Contribution Allocation_Report'!$A$9:$D$310,4,FALSE)*'PY_OPEB Amounts'!$K$323,0)</f>
        <v>199254</v>
      </c>
      <c r="L215" s="122">
        <f>INDEX('[2]Change in Proportion Layers'!$AA$8:$AA$321,MATCH('PY_OPEB Amounts'!A215,'[2]Change in Proportion Layers'!$A$8:$A$321,0))</f>
        <v>125450</v>
      </c>
      <c r="M215" s="122">
        <f t="shared" si="10"/>
        <v>428396</v>
      </c>
      <c r="N215" s="123"/>
      <c r="O215" s="123">
        <f>ROUND(VLOOKUP(A215,'[2]Contribution Allocation_Report'!$A$9:$D$310,4,FALSE)*'PY_OPEB Amounts'!$O$323,0)</f>
        <v>-59352</v>
      </c>
      <c r="P215" s="123">
        <f>INDEX('[2]Change in Proportion Layers'!$X$8:$X$321,MATCH('PY_OPEB Amounts'!A215,'[2]Change in Proportion Layers'!$A$8:$A$321,0))</f>
        <v>-21694</v>
      </c>
      <c r="Q215" s="123">
        <f t="shared" si="11"/>
        <v>-81046</v>
      </c>
    </row>
    <row r="216" spans="1:17" ht="12" customHeight="1">
      <c r="A216" s="164">
        <v>28085</v>
      </c>
      <c r="B216" s="168" t="s">
        <v>204</v>
      </c>
      <c r="C216" s="120">
        <f>ROUND(VLOOKUP(A216,'[2]Contribution Allocation_Report'!$A$9:$D$310,4,FALSE)*'PY_OPEB Amounts'!$C$323,0)</f>
        <v>1019021</v>
      </c>
      <c r="D216" s="120">
        <f>ROUND(VLOOKUP(A216,'[2]Contribution Allocation_Report'!$A$9:$D$310,4,FALSE)*'PY_OPEB Amounts'!$D$323,0)</f>
        <v>14899</v>
      </c>
      <c r="E216" s="120">
        <f>ROUND(VLOOKUP(A216,'[2]Contribution Allocation_Report'!$A$9:$D$310,4,FALSE)*'PY_OPEB Amounts'!$E$323,0)</f>
        <v>204018</v>
      </c>
      <c r="F216" s="120">
        <f>INDEX('[2]Change in Proportion Layers'!$Z$8:$Z$321,MATCH('PY_OPEB Amounts'!A216,'[2]Change in Proportion Layers'!$A$8:$A$321,0))</f>
        <v>13717</v>
      </c>
      <c r="G216" s="120">
        <f t="shared" si="9"/>
        <v>232634</v>
      </c>
      <c r="H216" s="120"/>
      <c r="I216" s="120">
        <f>ROUND(VLOOKUP(A216,'[2]Contribution Allocation_Report'!$A$9:$D$310,4,FALSE)*'PY_OPEB Amounts'!$I$323,0)</f>
        <v>162513</v>
      </c>
      <c r="J216" s="120">
        <f>ROUND(VLOOKUP(A216,'[2]Contribution Allocation_Report'!$A$9:$D$310,4,FALSE)*'PY_OPEB Amounts'!$J$323,0)</f>
        <v>29209</v>
      </c>
      <c r="K216" s="120">
        <f>ROUND(VLOOKUP(A216,'[2]Contribution Allocation_Report'!$A$9:$D$310,4,FALSE)*'PY_OPEB Amounts'!$K$323,0)</f>
        <v>368412</v>
      </c>
      <c r="L216" s="120">
        <f>INDEX('[2]Change in Proportion Layers'!$AA$8:$AA$321,MATCH('PY_OPEB Amounts'!A216,'[2]Change in Proportion Layers'!$A$8:$A$321,0))</f>
        <v>112155</v>
      </c>
      <c r="M216" s="120">
        <f t="shared" si="10"/>
        <v>672289</v>
      </c>
      <c r="N216" s="121"/>
      <c r="O216" s="121">
        <f>ROUND(VLOOKUP(A216,'[2]Contribution Allocation_Report'!$A$9:$D$310,4,FALSE)*'PY_OPEB Amounts'!$O$323,0)</f>
        <v>-109740</v>
      </c>
      <c r="P216" s="121">
        <f>INDEX('[2]Change in Proportion Layers'!$X$8:$X$321,MATCH('PY_OPEB Amounts'!A216,'[2]Change in Proportion Layers'!$A$8:$A$321,0))</f>
        <v>-19010</v>
      </c>
      <c r="Q216" s="121">
        <f t="shared" si="11"/>
        <v>-128750</v>
      </c>
    </row>
    <row r="217" spans="1:17" ht="12" customHeight="1">
      <c r="A217" s="166">
        <v>3240</v>
      </c>
      <c r="B217" s="167" t="s">
        <v>205</v>
      </c>
      <c r="C217" s="122">
        <f>ROUND(VLOOKUP(A217,'[2]Contribution Allocation_Report'!$A$9:$D$310,4,FALSE)*'PY_OPEB Amounts'!$C$323,0)</f>
        <v>6740611</v>
      </c>
      <c r="D217" s="122">
        <f>ROUND(VLOOKUP(A217,'[2]Contribution Allocation_Report'!$A$9:$D$310,4,FALSE)*'PY_OPEB Amounts'!$D$323,0)</f>
        <v>98557</v>
      </c>
      <c r="E217" s="122">
        <f>ROUND(VLOOKUP(A217,'[2]Contribution Allocation_Report'!$A$9:$D$310,4,FALSE)*'PY_OPEB Amounts'!$E$323,0)</f>
        <v>1349533</v>
      </c>
      <c r="F217" s="122">
        <f>INDEX('[2]Change in Proportion Layers'!$Z$8:$Z$321,MATCH('PY_OPEB Amounts'!A217,'[2]Change in Proportion Layers'!$A$8:$A$321,0))</f>
        <v>283539</v>
      </c>
      <c r="G217" s="122">
        <f t="shared" si="9"/>
        <v>1731629</v>
      </c>
      <c r="H217" s="122"/>
      <c r="I217" s="122">
        <f>ROUND(VLOOKUP(A217,'[2]Contribution Allocation_Report'!$A$9:$D$310,4,FALSE)*'PY_OPEB Amounts'!$I$323,0)</f>
        <v>1074987</v>
      </c>
      <c r="J217" s="122">
        <f>ROUND(VLOOKUP(A217,'[2]Contribution Allocation_Report'!$A$9:$D$310,4,FALSE)*'PY_OPEB Amounts'!$J$323,0)</f>
        <v>193214</v>
      </c>
      <c r="K217" s="122">
        <f>ROUND(VLOOKUP(A217,'[2]Contribution Allocation_Report'!$A$9:$D$310,4,FALSE)*'PY_OPEB Amounts'!$K$323,0)</f>
        <v>2436970</v>
      </c>
      <c r="L217" s="122">
        <f>INDEX('[2]Change in Proportion Layers'!$AA$8:$AA$321,MATCH('PY_OPEB Amounts'!A217,'[2]Change in Proportion Layers'!$A$8:$A$321,0))</f>
        <v>702282</v>
      </c>
      <c r="M217" s="122">
        <f t="shared" si="10"/>
        <v>4407453</v>
      </c>
      <c r="N217" s="123"/>
      <c r="O217" s="123">
        <f>ROUND(VLOOKUP(A217,'[2]Contribution Allocation_Report'!$A$9:$D$310,4,FALSE)*'PY_OPEB Amounts'!$O$323,0)</f>
        <v>-725907</v>
      </c>
      <c r="P217" s="123">
        <f>INDEX('[2]Change in Proportion Layers'!$X$8:$X$321,MATCH('PY_OPEB Amounts'!A217,'[2]Change in Proportion Layers'!$A$8:$A$321,0))</f>
        <v>-229858</v>
      </c>
      <c r="Q217" s="123">
        <f t="shared" si="11"/>
        <v>-955765</v>
      </c>
    </row>
    <row r="218" spans="1:17" ht="12" customHeight="1">
      <c r="A218" s="164">
        <v>12326</v>
      </c>
      <c r="B218" s="168" t="s">
        <v>206</v>
      </c>
      <c r="C218" s="120">
        <f>ROUND(VLOOKUP(A218,'[2]Contribution Allocation_Report'!$A$9:$D$310,4,FALSE)*'PY_OPEB Amounts'!$C$323,0)</f>
        <v>359635</v>
      </c>
      <c r="D218" s="120">
        <f>ROUND(VLOOKUP(A218,'[2]Contribution Allocation_Report'!$A$9:$D$310,4,FALSE)*'PY_OPEB Amounts'!$D$323,0)</f>
        <v>5258</v>
      </c>
      <c r="E218" s="120">
        <f>ROUND(VLOOKUP(A218,'[2]Contribution Allocation_Report'!$A$9:$D$310,4,FALSE)*'PY_OPEB Amounts'!$E$323,0)</f>
        <v>72002</v>
      </c>
      <c r="F218" s="120">
        <f>INDEX('[2]Change in Proportion Layers'!$Z$8:$Z$321,MATCH('PY_OPEB Amounts'!A218,'[2]Change in Proportion Layers'!$A$8:$A$321,0))</f>
        <v>64593</v>
      </c>
      <c r="G218" s="120">
        <f t="shared" si="9"/>
        <v>141853</v>
      </c>
      <c r="H218" s="120"/>
      <c r="I218" s="120">
        <f>ROUND(VLOOKUP(A218,'[2]Contribution Allocation_Report'!$A$9:$D$310,4,FALSE)*'PY_OPEB Amounts'!$I$323,0)</f>
        <v>57354</v>
      </c>
      <c r="J218" s="120">
        <f>ROUND(VLOOKUP(A218,'[2]Contribution Allocation_Report'!$A$9:$D$310,4,FALSE)*'PY_OPEB Amounts'!$J$323,0)</f>
        <v>10309</v>
      </c>
      <c r="K218" s="120">
        <f>ROUND(VLOOKUP(A218,'[2]Contribution Allocation_Report'!$A$9:$D$310,4,FALSE)*'PY_OPEB Amounts'!$K$323,0)</f>
        <v>130021</v>
      </c>
      <c r="L218" s="130">
        <f>INDEX('[2]Change in Proportion Layers'!$AA$8:$AA$321,MATCH('PY_OPEB Amounts'!A218,'[2]Change in Proportion Layers'!$A$8:$A$321,0))</f>
        <v>42425</v>
      </c>
      <c r="M218" s="120">
        <f t="shared" si="10"/>
        <v>240109</v>
      </c>
      <c r="N218" s="121"/>
      <c r="O218" s="121">
        <f>ROUND(VLOOKUP(A218,'[2]Contribution Allocation_Report'!$A$9:$D$310,4,FALSE)*'PY_OPEB Amounts'!$O$323,0)</f>
        <v>-38730</v>
      </c>
      <c r="P218" s="121">
        <f>INDEX('[2]Change in Proportion Layers'!$X$8:$X$321,MATCH('PY_OPEB Amounts'!A218,'[2]Change in Proportion Layers'!$A$8:$A$321,0))</f>
        <v>5205</v>
      </c>
      <c r="Q218" s="121">
        <f t="shared" si="11"/>
        <v>-33525</v>
      </c>
    </row>
    <row r="219" spans="1:17" ht="12" customHeight="1">
      <c r="A219" s="166">
        <v>29123</v>
      </c>
      <c r="B219" s="167" t="s">
        <v>207</v>
      </c>
      <c r="C219" s="122">
        <f>ROUND(VLOOKUP(A219,'[2]Contribution Allocation_Report'!$A$9:$D$310,4,FALSE)*'PY_OPEB Amounts'!$C$323,0)</f>
        <v>73640332</v>
      </c>
      <c r="D219" s="122">
        <f>ROUND(VLOOKUP(A219,'[2]Contribution Allocation_Report'!$A$9:$D$310,4,FALSE)*'PY_OPEB Amounts'!$D$323,0)</f>
        <v>1076719</v>
      </c>
      <c r="E219" s="122">
        <f>ROUND(VLOOKUP(A219,'[2]Contribution Allocation_Report'!$A$9:$D$310,4,FALSE)*'PY_OPEB Amounts'!$E$323,0)</f>
        <v>14743476</v>
      </c>
      <c r="F219" s="122">
        <f>INDEX('[2]Change in Proportion Layers'!$Z$8:$Z$321,MATCH('PY_OPEB Amounts'!A219,'[2]Change in Proportion Layers'!$A$8:$A$321,0))</f>
        <v>15679138</v>
      </c>
      <c r="G219" s="122">
        <f t="shared" si="9"/>
        <v>31499333</v>
      </c>
      <c r="H219" s="122"/>
      <c r="I219" s="122">
        <f>ROUND(VLOOKUP(A219,'[2]Contribution Allocation_Report'!$A$9:$D$310,4,FALSE)*'PY_OPEB Amounts'!$I$323,0)</f>
        <v>11744101</v>
      </c>
      <c r="J219" s="122">
        <f>ROUND(VLOOKUP(A219,'[2]Contribution Allocation_Report'!$A$9:$D$310,4,FALSE)*'PY_OPEB Amounts'!$J$323,0)</f>
        <v>2110838</v>
      </c>
      <c r="K219" s="122">
        <f>ROUND(VLOOKUP(A219,'[2]Contribution Allocation_Report'!$A$9:$D$310,4,FALSE)*'PY_OPEB Amounts'!$K$323,0)</f>
        <v>26623590</v>
      </c>
      <c r="L219" s="122">
        <f>INDEX('[2]Change in Proportion Layers'!$AA$8:$AA$321,MATCH('PY_OPEB Amounts'!A219,'[2]Change in Proportion Layers'!$A$8:$A$321,0))</f>
        <v>8386147</v>
      </c>
      <c r="M219" s="122">
        <f t="shared" si="10"/>
        <v>48864676</v>
      </c>
      <c r="N219" s="123"/>
      <c r="O219" s="123">
        <f>ROUND(VLOOKUP(A219,'[2]Contribution Allocation_Report'!$A$9:$D$310,4,FALSE)*'PY_OPEB Amounts'!$O$323,0)</f>
        <v>-7930448</v>
      </c>
      <c r="P219" s="123">
        <f>INDEX('[2]Change in Proportion Layers'!$X$8:$X$321,MATCH('PY_OPEB Amounts'!A219,'[2]Change in Proportion Layers'!$A$8:$A$321,0))</f>
        <v>1822789</v>
      </c>
      <c r="Q219" s="123">
        <f t="shared" si="11"/>
        <v>-6107659</v>
      </c>
    </row>
    <row r="220" spans="1:17" ht="12" customHeight="1">
      <c r="A220" s="164">
        <v>2318</v>
      </c>
      <c r="B220" s="168" t="s">
        <v>208</v>
      </c>
      <c r="C220" s="120">
        <f>ROUND(VLOOKUP(A220,'[2]Contribution Allocation_Report'!$A$9:$D$310,4,FALSE)*'PY_OPEB Amounts'!$C$323,0)</f>
        <v>1676104</v>
      </c>
      <c r="D220" s="120">
        <f>ROUND(VLOOKUP(A220,'[2]Contribution Allocation_Report'!$A$9:$D$310,4,FALSE)*'PY_OPEB Amounts'!$D$323,0)</f>
        <v>24507</v>
      </c>
      <c r="E220" s="120">
        <f>ROUND(VLOOKUP(A220,'[2]Contribution Allocation_Report'!$A$9:$D$310,4,FALSE)*'PY_OPEB Amounts'!$E$323,0)</f>
        <v>335572</v>
      </c>
      <c r="F220" s="120">
        <f>INDEX('[2]Change in Proportion Layers'!$Z$8:$Z$321,MATCH('PY_OPEB Amounts'!A220,'[2]Change in Proportion Layers'!$A$8:$A$321,0))</f>
        <v>157586</v>
      </c>
      <c r="G220" s="120">
        <f t="shared" si="9"/>
        <v>517665</v>
      </c>
      <c r="H220" s="120"/>
      <c r="I220" s="120">
        <f>ROUND(VLOOKUP(A220,'[2]Contribution Allocation_Report'!$A$9:$D$310,4,FALSE)*'PY_OPEB Amounts'!$I$323,0)</f>
        <v>267304</v>
      </c>
      <c r="J220" s="120">
        <f>ROUND(VLOOKUP(A220,'[2]Contribution Allocation_Report'!$A$9:$D$310,4,FALSE)*'PY_OPEB Amounts'!$J$323,0)</f>
        <v>48044</v>
      </c>
      <c r="K220" s="120">
        <f>ROUND(VLOOKUP(A220,'[2]Contribution Allocation_Report'!$A$9:$D$310,4,FALSE)*'PY_OPEB Amounts'!$K$323,0)</f>
        <v>605971</v>
      </c>
      <c r="L220" s="130">
        <f>INDEX('[2]Change in Proportion Layers'!$AA$8:$AA$321,MATCH('PY_OPEB Amounts'!A220,'[2]Change in Proportion Layers'!$A$8:$A$321,0))</f>
        <v>20235</v>
      </c>
      <c r="M220" s="120">
        <f t="shared" si="10"/>
        <v>941554</v>
      </c>
      <c r="N220" s="121"/>
      <c r="O220" s="121">
        <f>ROUND(VLOOKUP(A220,'[2]Contribution Allocation_Report'!$A$9:$D$310,4,FALSE)*'PY_OPEB Amounts'!$O$323,0)</f>
        <v>-180502</v>
      </c>
      <c r="P220" s="121">
        <f>INDEX('[2]Change in Proportion Layers'!$X$8:$X$321,MATCH('PY_OPEB Amounts'!A220,'[2]Change in Proportion Layers'!$A$8:$A$321,0))</f>
        <v>37108</v>
      </c>
      <c r="Q220" s="121">
        <f t="shared" si="11"/>
        <v>-143394</v>
      </c>
    </row>
    <row r="221" spans="1:17" ht="12" customHeight="1">
      <c r="A221" s="166">
        <v>3250</v>
      </c>
      <c r="B221" s="167" t="s">
        <v>209</v>
      </c>
      <c r="C221" s="122">
        <f>ROUND(VLOOKUP(A221,'[2]Contribution Allocation_Report'!$A$9:$D$310,4,FALSE)*'PY_OPEB Amounts'!$C$323,0)</f>
        <v>2256522</v>
      </c>
      <c r="D221" s="122">
        <f>ROUND(VLOOKUP(A221,'[2]Contribution Allocation_Report'!$A$9:$D$310,4,FALSE)*'PY_OPEB Amounts'!$D$323,0)</f>
        <v>32993</v>
      </c>
      <c r="E221" s="122">
        <f>ROUND(VLOOKUP(A221,'[2]Contribution Allocation_Report'!$A$9:$D$310,4,FALSE)*'PY_OPEB Amounts'!$E$323,0)</f>
        <v>451777</v>
      </c>
      <c r="F221" s="131">
        <f>INDEX('[2]Change in Proportion Layers'!$Z$8:$Z$321,MATCH('PY_OPEB Amounts'!A221,'[2]Change in Proportion Layers'!$A$8:$A$321,0))</f>
        <v>104050</v>
      </c>
      <c r="G221" s="122">
        <f t="shared" si="9"/>
        <v>588820</v>
      </c>
      <c r="H221" s="122"/>
      <c r="I221" s="122">
        <f>ROUND(VLOOKUP(A221,'[2]Contribution Allocation_Report'!$A$9:$D$310,4,FALSE)*'PY_OPEB Amounts'!$I$323,0)</f>
        <v>359868</v>
      </c>
      <c r="J221" s="122">
        <f>ROUND(VLOOKUP(A221,'[2]Contribution Allocation_Report'!$A$9:$D$310,4,FALSE)*'PY_OPEB Amounts'!$J$323,0)</f>
        <v>64681</v>
      </c>
      <c r="K221" s="122">
        <f>ROUND(VLOOKUP(A221,'[2]Contribution Allocation_Report'!$A$9:$D$310,4,FALSE)*'PY_OPEB Amounts'!$K$323,0)</f>
        <v>815813</v>
      </c>
      <c r="L221" s="122">
        <f>INDEX('[2]Change in Proportion Layers'!$AA$8:$AA$321,MATCH('PY_OPEB Amounts'!A221,'[2]Change in Proportion Layers'!$A$8:$A$321,0))</f>
        <v>278537</v>
      </c>
      <c r="M221" s="122">
        <f t="shared" si="10"/>
        <v>1518899</v>
      </c>
      <c r="N221" s="123"/>
      <c r="O221" s="123">
        <f>ROUND(VLOOKUP(A221,'[2]Contribution Allocation_Report'!$A$9:$D$310,4,FALSE)*'PY_OPEB Amounts'!$O$323,0)</f>
        <v>-243009</v>
      </c>
      <c r="P221" s="123">
        <f>INDEX('[2]Change in Proportion Layers'!$X$8:$X$321,MATCH('PY_OPEB Amounts'!A221,'[2]Change in Proportion Layers'!$A$8:$A$321,0))</f>
        <v>-14493</v>
      </c>
      <c r="Q221" s="123">
        <f t="shared" si="11"/>
        <v>-257502</v>
      </c>
    </row>
    <row r="222" spans="1:17" ht="12" customHeight="1">
      <c r="A222" s="164">
        <v>2313</v>
      </c>
      <c r="B222" s="168" t="s">
        <v>210</v>
      </c>
      <c r="C222" s="120">
        <f>ROUND(VLOOKUP(A222,'[2]Contribution Allocation_Report'!$A$9:$D$310,4,FALSE)*'PY_OPEB Amounts'!$C$323,0)</f>
        <v>231641</v>
      </c>
      <c r="D222" s="120">
        <f>ROUND(VLOOKUP(A222,'[2]Contribution Allocation_Report'!$A$9:$D$310,4,FALSE)*'PY_OPEB Amounts'!$D$323,0)</f>
        <v>3387</v>
      </c>
      <c r="E222" s="120">
        <f>ROUND(VLOOKUP(A222,'[2]Contribution Allocation_Report'!$A$9:$D$310,4,FALSE)*'PY_OPEB Amounts'!$E$323,0)</f>
        <v>46377</v>
      </c>
      <c r="F222" s="120">
        <f>INDEX('[2]Change in Proportion Layers'!$Z$8:$Z$321,MATCH('PY_OPEB Amounts'!A222,'[2]Change in Proportion Layers'!$A$8:$A$321,0))</f>
        <v>20570</v>
      </c>
      <c r="G222" s="120">
        <f t="shared" si="9"/>
        <v>70334</v>
      </c>
      <c r="H222" s="120"/>
      <c r="I222" s="120">
        <f>ROUND(VLOOKUP(A222,'[2]Contribution Allocation_Report'!$A$9:$D$310,4,FALSE)*'PY_OPEB Amounts'!$I$323,0)</f>
        <v>36942</v>
      </c>
      <c r="J222" s="120">
        <f>ROUND(VLOOKUP(A222,'[2]Contribution Allocation_Report'!$A$9:$D$310,4,FALSE)*'PY_OPEB Amounts'!$J$323,0)</f>
        <v>6640</v>
      </c>
      <c r="K222" s="120">
        <f>ROUND(VLOOKUP(A222,'[2]Contribution Allocation_Report'!$A$9:$D$310,4,FALSE)*'PY_OPEB Amounts'!$K$323,0)</f>
        <v>83746</v>
      </c>
      <c r="L222" s="130">
        <f>INDEX('[2]Change in Proportion Layers'!$AA$8:$AA$321,MATCH('PY_OPEB Amounts'!A222,'[2]Change in Proportion Layers'!$A$8:$A$321,0))</f>
        <v>29549</v>
      </c>
      <c r="M222" s="120">
        <f t="shared" si="10"/>
        <v>156877</v>
      </c>
      <c r="N222" s="121"/>
      <c r="O222" s="121">
        <f>ROUND(VLOOKUP(A222,'[2]Contribution Allocation_Report'!$A$9:$D$310,4,FALSE)*'PY_OPEB Amounts'!$O$323,0)</f>
        <v>-24946</v>
      </c>
      <c r="P222" s="121">
        <f>INDEX('[2]Change in Proportion Layers'!$X$8:$X$321,MATCH('PY_OPEB Amounts'!A222,'[2]Change in Proportion Layers'!$A$8:$A$321,0))</f>
        <v>-8937</v>
      </c>
      <c r="Q222" s="121">
        <f t="shared" si="11"/>
        <v>-33883</v>
      </c>
    </row>
    <row r="223" spans="1:17" ht="12" customHeight="1">
      <c r="A223" s="166">
        <v>4011</v>
      </c>
      <c r="B223" s="167" t="s">
        <v>211</v>
      </c>
      <c r="C223" s="122">
        <f>ROUND(VLOOKUP(A223,'[2]Contribution Allocation_Report'!$A$9:$D$310,4,FALSE)*'PY_OPEB Amounts'!$C$323,0)</f>
        <v>41729532</v>
      </c>
      <c r="D223" s="122">
        <f>ROUND(VLOOKUP(A223,'[2]Contribution Allocation_Report'!$A$9:$D$310,4,FALSE)*'PY_OPEB Amounts'!$D$323,0)</f>
        <v>610141</v>
      </c>
      <c r="E223" s="122">
        <f>ROUND(VLOOKUP(A223,'[2]Contribution Allocation_Report'!$A$9:$D$310,4,FALSE)*'PY_OPEB Amounts'!$E$323,0)</f>
        <v>8354639</v>
      </c>
      <c r="F223" s="131">
        <f>INDEX('[2]Change in Proportion Layers'!$Z$8:$Z$321,MATCH('PY_OPEB Amounts'!A223,'[2]Change in Proportion Layers'!$A$8:$A$321,0))</f>
        <v>4228795</v>
      </c>
      <c r="G223" s="122">
        <f t="shared" si="9"/>
        <v>13193575</v>
      </c>
      <c r="H223" s="122"/>
      <c r="I223" s="122">
        <f>ROUND(VLOOKUP(A223,'[2]Contribution Allocation_Report'!$A$9:$D$310,4,FALSE)*'PY_OPEB Amounts'!$I$323,0)</f>
        <v>6654992</v>
      </c>
      <c r="J223" s="122">
        <f>ROUND(VLOOKUP(A223,'[2]Contribution Allocation_Report'!$A$9:$D$310,4,FALSE)*'PY_OPEB Amounts'!$J$323,0)</f>
        <v>1196142</v>
      </c>
      <c r="K223" s="122">
        <f>ROUND(VLOOKUP(A223,'[2]Contribution Allocation_Report'!$A$9:$D$310,4,FALSE)*'PY_OPEB Amounts'!$K$323,0)</f>
        <v>15086705</v>
      </c>
      <c r="L223" s="122">
        <f>INDEX('[2]Change in Proportion Layers'!$AA$8:$AA$321,MATCH('PY_OPEB Amounts'!A223,'[2]Change in Proportion Layers'!$A$8:$A$321,0))</f>
        <v>513218</v>
      </c>
      <c r="M223" s="122">
        <f t="shared" si="10"/>
        <v>23451057</v>
      </c>
      <c r="N223" s="123"/>
      <c r="O223" s="123">
        <f>ROUND(VLOOKUP(A223,'[2]Contribution Allocation_Report'!$A$9:$D$310,4,FALSE)*'PY_OPEB Amounts'!$O$323,0)</f>
        <v>-4493921</v>
      </c>
      <c r="P223" s="123">
        <f>INDEX('[2]Change in Proportion Layers'!$X$8:$X$321,MATCH('PY_OPEB Amounts'!A223,'[2]Change in Proportion Layers'!$A$8:$A$321,0))</f>
        <v>982892</v>
      </c>
      <c r="Q223" s="123">
        <f t="shared" si="11"/>
        <v>-3511029</v>
      </c>
    </row>
    <row r="224" spans="1:17" ht="12" customHeight="1">
      <c r="A224" s="164">
        <v>31092</v>
      </c>
      <c r="B224" s="168" t="s">
        <v>212</v>
      </c>
      <c r="C224" s="120">
        <f>ROUND(VLOOKUP(A224,'[2]Contribution Allocation_Report'!$A$9:$D$310,4,FALSE)*'PY_OPEB Amounts'!$C$323,0)</f>
        <v>671889</v>
      </c>
      <c r="D224" s="120">
        <f>ROUND(VLOOKUP(A224,'[2]Contribution Allocation_Report'!$A$9:$D$310,4,FALSE)*'PY_OPEB Amounts'!$D$323,0)</f>
        <v>9824</v>
      </c>
      <c r="E224" s="120">
        <f>ROUND(VLOOKUP(A224,'[2]Contribution Allocation_Report'!$A$9:$D$310,4,FALSE)*'PY_OPEB Amounts'!$E$323,0)</f>
        <v>134518</v>
      </c>
      <c r="F224" s="120">
        <f>INDEX('[2]Change in Proportion Layers'!$Z$8:$Z$321,MATCH('PY_OPEB Amounts'!A224,'[2]Change in Proportion Layers'!$A$8:$A$321,0))</f>
        <v>62216</v>
      </c>
      <c r="G224" s="120">
        <f t="shared" si="9"/>
        <v>206558</v>
      </c>
      <c r="H224" s="120"/>
      <c r="I224" s="120">
        <f>ROUND(VLOOKUP(A224,'[2]Contribution Allocation_Report'!$A$9:$D$310,4,FALSE)*'PY_OPEB Amounts'!$I$323,0)</f>
        <v>107152</v>
      </c>
      <c r="J224" s="120">
        <f>ROUND(VLOOKUP(A224,'[2]Contribution Allocation_Report'!$A$9:$D$310,4,FALSE)*'PY_OPEB Amounts'!$J$323,0)</f>
        <v>19259</v>
      </c>
      <c r="K224" s="120">
        <f>ROUND(VLOOKUP(A224,'[2]Contribution Allocation_Report'!$A$9:$D$310,4,FALSE)*'PY_OPEB Amounts'!$K$323,0)</f>
        <v>242912</v>
      </c>
      <c r="L224" s="120">
        <f>INDEX('[2]Change in Proportion Layers'!$AA$8:$AA$321,MATCH('PY_OPEB Amounts'!A224,'[2]Change in Proportion Layers'!$A$8:$A$321,0))</f>
        <v>15112</v>
      </c>
      <c r="M224" s="120">
        <f t="shared" si="10"/>
        <v>384435</v>
      </c>
      <c r="N224" s="121"/>
      <c r="O224" s="121">
        <f>ROUND(VLOOKUP(A224,'[2]Contribution Allocation_Report'!$A$9:$D$310,4,FALSE)*'PY_OPEB Amounts'!$O$323,0)</f>
        <v>-72357</v>
      </c>
      <c r="P224" s="121">
        <f>INDEX('[2]Change in Proportion Layers'!$X$8:$X$321,MATCH('PY_OPEB Amounts'!A224,'[2]Change in Proportion Layers'!$A$8:$A$321,0))</f>
        <v>11451</v>
      </c>
      <c r="Q224" s="121">
        <f t="shared" si="11"/>
        <v>-60906</v>
      </c>
    </row>
    <row r="225" spans="1:17" ht="12" customHeight="1">
      <c r="A225" s="166">
        <v>26081</v>
      </c>
      <c r="B225" s="167" t="s">
        <v>213</v>
      </c>
      <c r="C225" s="122">
        <f>ROUND(VLOOKUP(A225,'[2]Contribution Allocation_Report'!$A$9:$D$310,4,FALSE)*'PY_OPEB Amounts'!$C$323,0)</f>
        <v>7335835</v>
      </c>
      <c r="D225" s="122">
        <f>ROUND(VLOOKUP(A225,'[2]Contribution Allocation_Report'!$A$9:$D$310,4,FALSE)*'PY_OPEB Amounts'!$D$323,0)</f>
        <v>107260</v>
      </c>
      <c r="E225" s="122">
        <f>ROUND(VLOOKUP(A225,'[2]Contribution Allocation_Report'!$A$9:$D$310,4,FALSE)*'PY_OPEB Amounts'!$E$323,0)</f>
        <v>1468702</v>
      </c>
      <c r="F225" s="122">
        <f>INDEX('[2]Change in Proportion Layers'!$Z$8:$Z$321,MATCH('PY_OPEB Amounts'!A225,'[2]Change in Proportion Layers'!$A$8:$A$321,0))</f>
        <v>413222</v>
      </c>
      <c r="G225" s="122">
        <f t="shared" si="9"/>
        <v>1989184</v>
      </c>
      <c r="H225" s="122"/>
      <c r="I225" s="122">
        <f>ROUND(VLOOKUP(A225,'[2]Contribution Allocation_Report'!$A$9:$D$310,4,FALSE)*'PY_OPEB Amounts'!$I$323,0)</f>
        <v>1169913</v>
      </c>
      <c r="J225" s="122">
        <f>ROUND(VLOOKUP(A225,'[2]Contribution Allocation_Report'!$A$9:$D$310,4,FALSE)*'PY_OPEB Amounts'!$J$323,0)</f>
        <v>210276</v>
      </c>
      <c r="K225" s="122">
        <f>ROUND(VLOOKUP(A225,'[2]Contribution Allocation_Report'!$A$9:$D$310,4,FALSE)*'PY_OPEB Amounts'!$K$323,0)</f>
        <v>2652164</v>
      </c>
      <c r="L225" s="122">
        <f>INDEX('[2]Change in Proportion Layers'!$AA$8:$AA$321,MATCH('PY_OPEB Amounts'!A225,'[2]Change in Proportion Layers'!$A$8:$A$321,0))</f>
        <v>391843</v>
      </c>
      <c r="M225" s="122">
        <f t="shared" si="10"/>
        <v>4424196</v>
      </c>
      <c r="N225" s="123"/>
      <c r="O225" s="123">
        <f>ROUND(VLOOKUP(A225,'[2]Contribution Allocation_Report'!$A$9:$D$310,4,FALSE)*'PY_OPEB Amounts'!$O$323,0)</f>
        <v>-790008</v>
      </c>
      <c r="P225" s="123">
        <f>INDEX('[2]Change in Proportion Layers'!$X$8:$X$321,MATCH('PY_OPEB Amounts'!A225,'[2]Change in Proportion Layers'!$A$8:$A$321,0))</f>
        <v>93706</v>
      </c>
      <c r="Q225" s="123">
        <f t="shared" si="11"/>
        <v>-696302</v>
      </c>
    </row>
    <row r="226" spans="1:17" ht="12" customHeight="1">
      <c r="A226" s="164">
        <v>29305</v>
      </c>
      <c r="B226" s="168" t="s">
        <v>214</v>
      </c>
      <c r="C226" s="120">
        <f>ROUND(VLOOKUP(A226,'[2]Contribution Allocation_Report'!$A$9:$D$310,4,FALSE)*'PY_OPEB Amounts'!$C$323,0)</f>
        <v>596540</v>
      </c>
      <c r="D226" s="120">
        <f>ROUND(VLOOKUP(A226,'[2]Contribution Allocation_Report'!$A$9:$D$310,4,FALSE)*'PY_OPEB Amounts'!$D$323,0)</f>
        <v>8722</v>
      </c>
      <c r="E226" s="120">
        <f>ROUND(VLOOKUP(A226,'[2]Contribution Allocation_Report'!$A$9:$D$310,4,FALSE)*'PY_OPEB Amounts'!$E$323,0)</f>
        <v>119433</v>
      </c>
      <c r="F226" s="120">
        <f>INDEX('[2]Change in Proportion Layers'!$Z$8:$Z$321,MATCH('PY_OPEB Amounts'!A226,'[2]Change in Proportion Layers'!$A$8:$A$321,0))</f>
        <v>104517</v>
      </c>
      <c r="G226" s="120">
        <f t="shared" si="9"/>
        <v>232672</v>
      </c>
      <c r="H226" s="120"/>
      <c r="I226" s="120">
        <f>ROUND(VLOOKUP(A226,'[2]Contribution Allocation_Report'!$A$9:$D$310,4,FALSE)*'PY_OPEB Amounts'!$I$323,0)</f>
        <v>95136</v>
      </c>
      <c r="J226" s="120">
        <f>ROUND(VLOOKUP(A226,'[2]Contribution Allocation_Report'!$A$9:$D$310,4,FALSE)*'PY_OPEB Amounts'!$J$323,0)</f>
        <v>17099</v>
      </c>
      <c r="K226" s="120">
        <f>ROUND(VLOOKUP(A226,'[2]Contribution Allocation_Report'!$A$9:$D$310,4,FALSE)*'PY_OPEB Amounts'!$K$323,0)</f>
        <v>215671</v>
      </c>
      <c r="L226" s="120">
        <f>INDEX('[2]Change in Proportion Layers'!$AA$8:$AA$321,MATCH('PY_OPEB Amounts'!A226,'[2]Change in Proportion Layers'!$A$8:$A$321,0))</f>
        <v>52432</v>
      </c>
      <c r="M226" s="120">
        <f t="shared" si="10"/>
        <v>380338</v>
      </c>
      <c r="N226" s="121"/>
      <c r="O226" s="121">
        <f>ROUND(VLOOKUP(A226,'[2]Contribution Allocation_Report'!$A$9:$D$310,4,FALSE)*'PY_OPEB Amounts'!$O$323,0)</f>
        <v>-64242</v>
      </c>
      <c r="P226" s="121">
        <f>INDEX('[2]Change in Proportion Layers'!$X$8:$X$321,MATCH('PY_OPEB Amounts'!A226,'[2]Change in Proportion Layers'!$A$8:$A$321,0))</f>
        <v>36446</v>
      </c>
      <c r="Q226" s="121">
        <f t="shared" si="11"/>
        <v>-27796</v>
      </c>
    </row>
    <row r="227" spans="1:17" ht="12" customHeight="1">
      <c r="A227" s="166">
        <v>10032</v>
      </c>
      <c r="B227" s="167" t="s">
        <v>215</v>
      </c>
      <c r="C227" s="122">
        <f>ROUND(VLOOKUP(A227,'[2]Contribution Allocation_Report'!$A$9:$D$310,4,FALSE)*'PY_OPEB Amounts'!$C$323,0)</f>
        <v>843975</v>
      </c>
      <c r="D227" s="122">
        <f>ROUND(VLOOKUP(A227,'[2]Contribution Allocation_Report'!$A$9:$D$310,4,FALSE)*'PY_OPEB Amounts'!$D$323,0)</f>
        <v>12340</v>
      </c>
      <c r="E227" s="122">
        <f>ROUND(VLOOKUP(A227,'[2]Contribution Allocation_Report'!$A$9:$D$310,4,FALSE)*'PY_OPEB Amounts'!$E$323,0)</f>
        <v>168972</v>
      </c>
      <c r="F227" s="122">
        <f>INDEX('[2]Change in Proportion Layers'!$Z$8:$Z$321,MATCH('PY_OPEB Amounts'!A227,'[2]Change in Proportion Layers'!$A$8:$A$321,0))</f>
        <v>37974</v>
      </c>
      <c r="G227" s="122">
        <f t="shared" si="9"/>
        <v>219286</v>
      </c>
      <c r="H227" s="122"/>
      <c r="I227" s="122">
        <f>ROUND(VLOOKUP(A227,'[2]Contribution Allocation_Report'!$A$9:$D$310,4,FALSE)*'PY_OPEB Amounts'!$I$323,0)</f>
        <v>134596</v>
      </c>
      <c r="J227" s="122">
        <f>ROUND(VLOOKUP(A227,'[2]Contribution Allocation_Report'!$A$9:$D$310,4,FALSE)*'PY_OPEB Amounts'!$J$323,0)</f>
        <v>24192</v>
      </c>
      <c r="K227" s="122">
        <f>ROUND(VLOOKUP(A227,'[2]Contribution Allocation_Report'!$A$9:$D$310,4,FALSE)*'PY_OPEB Amounts'!$K$323,0)</f>
        <v>305127</v>
      </c>
      <c r="L227" s="122">
        <f>INDEX('[2]Change in Proportion Layers'!$AA$8:$AA$321,MATCH('PY_OPEB Amounts'!A227,'[2]Change in Proportion Layers'!$A$8:$A$321,0))</f>
        <v>122741</v>
      </c>
      <c r="M227" s="122">
        <f t="shared" si="10"/>
        <v>586656</v>
      </c>
      <c r="N227" s="123"/>
      <c r="O227" s="123">
        <f>ROUND(VLOOKUP(A227,'[2]Contribution Allocation_Report'!$A$9:$D$310,4,FALSE)*'PY_OPEB Amounts'!$O$323,0)</f>
        <v>-90889</v>
      </c>
      <c r="P227" s="123">
        <f>INDEX('[2]Change in Proportion Layers'!$X$8:$X$321,MATCH('PY_OPEB Amounts'!A227,'[2]Change in Proportion Layers'!$A$8:$A$321,0))</f>
        <v>-12693</v>
      </c>
      <c r="Q227" s="123">
        <f t="shared" si="11"/>
        <v>-103582</v>
      </c>
    </row>
    <row r="228" spans="1:17" ht="12" customHeight="1">
      <c r="A228" s="164">
        <v>32107</v>
      </c>
      <c r="B228" s="168" t="s">
        <v>216</v>
      </c>
      <c r="C228" s="120">
        <f>ROUND(VLOOKUP(A228,'[2]Contribution Allocation_Report'!$A$9:$D$310,4,FALSE)*'PY_OPEB Amounts'!$C$323,0)</f>
        <v>1070680</v>
      </c>
      <c r="D228" s="120">
        <f>ROUND(VLOOKUP(A228,'[2]Contribution Allocation_Report'!$A$9:$D$310,4,FALSE)*'PY_OPEB Amounts'!$D$323,0)</f>
        <v>15655</v>
      </c>
      <c r="E228" s="120">
        <f>ROUND(VLOOKUP(A228,'[2]Contribution Allocation_Report'!$A$9:$D$310,4,FALSE)*'PY_OPEB Amounts'!$E$323,0)</f>
        <v>214360</v>
      </c>
      <c r="F228" s="120">
        <f>INDEX('[2]Change in Proportion Layers'!$Z$8:$Z$321,MATCH('PY_OPEB Amounts'!A228,'[2]Change in Proportion Layers'!$A$8:$A$321,0))</f>
        <v>39144</v>
      </c>
      <c r="G228" s="120">
        <f t="shared" si="9"/>
        <v>269159</v>
      </c>
      <c r="H228" s="120"/>
      <c r="I228" s="120">
        <f>ROUND(VLOOKUP(A228,'[2]Contribution Allocation_Report'!$A$9:$D$310,4,FALSE)*'PY_OPEB Amounts'!$I$323,0)</f>
        <v>170751</v>
      </c>
      <c r="J228" s="120">
        <f>ROUND(VLOOKUP(A228,'[2]Contribution Allocation_Report'!$A$9:$D$310,4,FALSE)*'PY_OPEB Amounts'!$J$323,0)</f>
        <v>30690</v>
      </c>
      <c r="K228" s="120">
        <f>ROUND(VLOOKUP(A228,'[2]Contribution Allocation_Report'!$A$9:$D$310,4,FALSE)*'PY_OPEB Amounts'!$K$323,0)</f>
        <v>387089</v>
      </c>
      <c r="L228" s="120">
        <f>INDEX('[2]Change in Proportion Layers'!$AA$8:$AA$321,MATCH('PY_OPEB Amounts'!A228,'[2]Change in Proportion Layers'!$A$8:$A$321,0))</f>
        <v>451675</v>
      </c>
      <c r="M228" s="120">
        <f t="shared" si="10"/>
        <v>1040205</v>
      </c>
      <c r="N228" s="121"/>
      <c r="O228" s="121">
        <f>ROUND(VLOOKUP(A228,'[2]Contribution Allocation_Report'!$A$9:$D$310,4,FALSE)*'PY_OPEB Amounts'!$O$323,0)</f>
        <v>-115303</v>
      </c>
      <c r="P228" s="121">
        <f>INDEX('[2]Change in Proportion Layers'!$X$8:$X$321,MATCH('PY_OPEB Amounts'!A228,'[2]Change in Proportion Layers'!$A$8:$A$321,0))</f>
        <v>-112726</v>
      </c>
      <c r="Q228" s="121">
        <f t="shared" si="11"/>
        <v>-228029</v>
      </c>
    </row>
    <row r="229" spans="1:17" ht="12" customHeight="1">
      <c r="A229" s="166">
        <v>3260</v>
      </c>
      <c r="B229" s="167" t="s">
        <v>217</v>
      </c>
      <c r="C229" s="122">
        <f>ROUND(VLOOKUP(A229,'[2]Contribution Allocation_Report'!$A$9:$D$310,4,FALSE)*'PY_OPEB Amounts'!$C$323,0)</f>
        <v>19944455</v>
      </c>
      <c r="D229" s="122">
        <f>ROUND(VLOOKUP(A229,'[2]Contribution Allocation_Report'!$A$9:$D$310,4,FALSE)*'PY_OPEB Amounts'!$D$323,0)</f>
        <v>291614</v>
      </c>
      <c r="E229" s="122">
        <f>ROUND(VLOOKUP(A229,'[2]Contribution Allocation_Report'!$A$9:$D$310,4,FALSE)*'PY_OPEB Amounts'!$E$323,0)</f>
        <v>3993065</v>
      </c>
      <c r="F229" s="122">
        <f>INDEX('[2]Change in Proportion Layers'!$Z$8:$Z$321,MATCH('PY_OPEB Amounts'!A229,'[2]Change in Proportion Layers'!$A$8:$A$321,0))</f>
        <v>1008371</v>
      </c>
      <c r="G229" s="122">
        <f t="shared" si="9"/>
        <v>5293050</v>
      </c>
      <c r="H229" s="122"/>
      <c r="I229" s="122">
        <f>ROUND(VLOOKUP(A229,'[2]Contribution Allocation_Report'!$A$9:$D$310,4,FALSE)*'PY_OPEB Amounts'!$I$323,0)</f>
        <v>3180726</v>
      </c>
      <c r="J229" s="122">
        <f>ROUND(VLOOKUP(A229,'[2]Contribution Allocation_Report'!$A$9:$D$310,4,FALSE)*'PY_OPEB Amounts'!$J$323,0)</f>
        <v>571691</v>
      </c>
      <c r="K229" s="122">
        <f>ROUND(VLOOKUP(A229,'[2]Contribution Allocation_Report'!$A$9:$D$310,4,FALSE)*'PY_OPEB Amounts'!$K$323,0)</f>
        <v>7210628</v>
      </c>
      <c r="L229" s="131">
        <f>INDEX('[2]Change in Proportion Layers'!$AA$8:$AA$321,MATCH('PY_OPEB Amounts'!A229,'[2]Change in Proportion Layers'!$A$8:$A$321,0))</f>
        <v>4425232</v>
      </c>
      <c r="M229" s="122">
        <f t="shared" si="10"/>
        <v>15388277</v>
      </c>
      <c r="N229" s="123"/>
      <c r="O229" s="123">
        <f>ROUND(VLOOKUP(A229,'[2]Contribution Allocation_Report'!$A$9:$D$310,4,FALSE)*'PY_OPEB Amounts'!$O$323,0)</f>
        <v>-2147851</v>
      </c>
      <c r="P229" s="123">
        <f>INDEX('[2]Change in Proportion Layers'!$X$8:$X$321,MATCH('PY_OPEB Amounts'!A229,'[2]Change in Proportion Layers'!$A$8:$A$321,0))</f>
        <v>-777441</v>
      </c>
      <c r="Q229" s="123">
        <f t="shared" si="11"/>
        <v>-2925292</v>
      </c>
    </row>
    <row r="230" spans="1:17" ht="12" customHeight="1">
      <c r="A230" s="164">
        <v>4390</v>
      </c>
      <c r="B230" s="168" t="s">
        <v>218</v>
      </c>
      <c r="C230" s="120">
        <f>ROUND(VLOOKUP(A230,'[2]Contribution Allocation_Report'!$A$9:$D$310,4,FALSE)*'PY_OPEB Amounts'!$C$323,0)</f>
        <v>203673</v>
      </c>
      <c r="D230" s="120">
        <f>ROUND(VLOOKUP(A230,'[2]Contribution Allocation_Report'!$A$9:$D$310,4,FALSE)*'PY_OPEB Amounts'!$D$323,0)</f>
        <v>2978</v>
      </c>
      <c r="E230" s="120">
        <f>ROUND(VLOOKUP(A230,'[2]Contribution Allocation_Report'!$A$9:$D$310,4,FALSE)*'PY_OPEB Amounts'!$E$323,0)</f>
        <v>40777</v>
      </c>
      <c r="F230" s="120">
        <f>INDEX('[2]Change in Proportion Layers'!$Z$8:$Z$321,MATCH('PY_OPEB Amounts'!A230,'[2]Change in Proportion Layers'!$A$8:$A$321,0))</f>
        <v>32873</v>
      </c>
      <c r="G230" s="120">
        <f t="shared" si="9"/>
        <v>76628</v>
      </c>
      <c r="H230" s="120"/>
      <c r="I230" s="120">
        <f>ROUND(VLOOKUP(A230,'[2]Contribution Allocation_Report'!$A$9:$D$310,4,FALSE)*'PY_OPEB Amounts'!$I$323,0)</f>
        <v>32482</v>
      </c>
      <c r="J230" s="120">
        <f>ROUND(VLOOKUP(A230,'[2]Contribution Allocation_Report'!$A$9:$D$310,4,FALSE)*'PY_OPEB Amounts'!$J$323,0)</f>
        <v>5838</v>
      </c>
      <c r="K230" s="120">
        <f>ROUND(VLOOKUP(A230,'[2]Contribution Allocation_Report'!$A$9:$D$310,4,FALSE)*'PY_OPEB Amounts'!$K$323,0)</f>
        <v>73635</v>
      </c>
      <c r="L230" s="130">
        <f>INDEX('[2]Change in Proportion Layers'!$AA$8:$AA$321,MATCH('PY_OPEB Amounts'!A230,'[2]Change in Proportion Layers'!$A$8:$A$321,0))</f>
        <v>5122</v>
      </c>
      <c r="M230" s="120">
        <f t="shared" si="10"/>
        <v>117077</v>
      </c>
      <c r="N230" s="121"/>
      <c r="O230" s="121">
        <f>ROUND(VLOOKUP(A230,'[2]Contribution Allocation_Report'!$A$9:$D$310,4,FALSE)*'PY_OPEB Amounts'!$O$323,0)</f>
        <v>-21934</v>
      </c>
      <c r="P230" s="121">
        <f>INDEX('[2]Change in Proportion Layers'!$X$8:$X$321,MATCH('PY_OPEB Amounts'!A230,'[2]Change in Proportion Layers'!$A$8:$A$321,0))</f>
        <v>7771</v>
      </c>
      <c r="Q230" s="121">
        <f t="shared" si="11"/>
        <v>-14163</v>
      </c>
    </row>
    <row r="231" spans="1:17" ht="12" customHeight="1">
      <c r="A231" s="166">
        <v>3270</v>
      </c>
      <c r="B231" s="167" t="s">
        <v>219</v>
      </c>
      <c r="C231" s="122">
        <f>ROUND(VLOOKUP(A231,'[2]Contribution Allocation_Report'!$A$9:$D$310,4,FALSE)*'PY_OPEB Amounts'!$C$323,0)</f>
        <v>2853062</v>
      </c>
      <c r="D231" s="122">
        <f>ROUND(VLOOKUP(A231,'[2]Contribution Allocation_Report'!$A$9:$D$310,4,FALSE)*'PY_OPEB Amounts'!$D$323,0)</f>
        <v>41716</v>
      </c>
      <c r="E231" s="122">
        <f>ROUND(VLOOKUP(A231,'[2]Contribution Allocation_Report'!$A$9:$D$310,4,FALSE)*'PY_OPEB Amounts'!$E$323,0)</f>
        <v>571209</v>
      </c>
      <c r="F231" s="122">
        <f>INDEX('[2]Change in Proportion Layers'!$Z$8:$Z$321,MATCH('PY_OPEB Amounts'!A231,'[2]Change in Proportion Layers'!$A$8:$A$321,0))</f>
        <v>2008</v>
      </c>
      <c r="G231" s="122">
        <f t="shared" si="9"/>
        <v>614933</v>
      </c>
      <c r="H231" s="122"/>
      <c r="I231" s="122">
        <f>ROUND(VLOOKUP(A231,'[2]Contribution Allocation_Report'!$A$9:$D$310,4,FALSE)*'PY_OPEB Amounts'!$I$323,0)</f>
        <v>455004</v>
      </c>
      <c r="J231" s="122">
        <f>ROUND(VLOOKUP(A231,'[2]Contribution Allocation_Report'!$A$9:$D$310,4,FALSE)*'PY_OPEB Amounts'!$J$323,0)</f>
        <v>81781</v>
      </c>
      <c r="K231" s="122">
        <f>ROUND(VLOOKUP(A231,'[2]Contribution Allocation_Report'!$A$9:$D$310,4,FALSE)*'PY_OPEB Amounts'!$K$323,0)</f>
        <v>1031483</v>
      </c>
      <c r="L231" s="122">
        <f>INDEX('[2]Change in Proportion Layers'!$AA$8:$AA$321,MATCH('PY_OPEB Amounts'!A231,'[2]Change in Proportion Layers'!$A$8:$A$321,0))</f>
        <v>298413</v>
      </c>
      <c r="M231" s="122">
        <f t="shared" si="10"/>
        <v>1866681</v>
      </c>
      <c r="N231" s="123"/>
      <c r="O231" s="123">
        <f>ROUND(VLOOKUP(A231,'[2]Contribution Allocation_Report'!$A$9:$D$310,4,FALSE)*'PY_OPEB Amounts'!$O$323,0)</f>
        <v>-307251</v>
      </c>
      <c r="P231" s="123">
        <f>INDEX('[2]Change in Proportion Layers'!$X$8:$X$321,MATCH('PY_OPEB Amounts'!A231,'[2]Change in Proportion Layers'!$A$8:$A$321,0))</f>
        <v>-68876</v>
      </c>
      <c r="Q231" s="123">
        <f t="shared" si="11"/>
        <v>-376127</v>
      </c>
    </row>
    <row r="232" spans="1:17" ht="12" customHeight="1">
      <c r="A232" s="164">
        <v>29303</v>
      </c>
      <c r="B232" s="168" t="s">
        <v>220</v>
      </c>
      <c r="C232" s="120">
        <f>ROUND(VLOOKUP(A232,'[2]Contribution Allocation_Report'!$A$9:$D$310,4,FALSE)*'PY_OPEB Amounts'!$C$323,0)</f>
        <v>675180</v>
      </c>
      <c r="D232" s="120">
        <f>ROUND(VLOOKUP(A232,'[2]Contribution Allocation_Report'!$A$9:$D$310,4,FALSE)*'PY_OPEB Amounts'!$D$323,0)</f>
        <v>9872</v>
      </c>
      <c r="E232" s="120">
        <f>ROUND(VLOOKUP(A232,'[2]Contribution Allocation_Report'!$A$9:$D$310,4,FALSE)*'PY_OPEB Amounts'!$E$323,0)</f>
        <v>135177</v>
      </c>
      <c r="F232" s="120">
        <f>INDEX('[2]Change in Proportion Layers'!$Z$8:$Z$321,MATCH('PY_OPEB Amounts'!A232,'[2]Change in Proportion Layers'!$A$8:$A$321,0))</f>
        <v>413261</v>
      </c>
      <c r="G232" s="120">
        <f t="shared" si="9"/>
        <v>558310</v>
      </c>
      <c r="H232" s="120"/>
      <c r="I232" s="120">
        <f>ROUND(VLOOKUP(A232,'[2]Contribution Allocation_Report'!$A$9:$D$310,4,FALSE)*'PY_OPEB Amounts'!$I$323,0)</f>
        <v>107677</v>
      </c>
      <c r="J232" s="120">
        <f>ROUND(VLOOKUP(A232,'[2]Contribution Allocation_Report'!$A$9:$D$310,4,FALSE)*'PY_OPEB Amounts'!$J$323,0)</f>
        <v>19353</v>
      </c>
      <c r="K232" s="120">
        <f>ROUND(VLOOKUP(A232,'[2]Contribution Allocation_Report'!$A$9:$D$310,4,FALSE)*'PY_OPEB Amounts'!$K$323,0)</f>
        <v>244101</v>
      </c>
      <c r="L232" s="120">
        <f>INDEX('[2]Change in Proportion Layers'!$AA$8:$AA$321,MATCH('PY_OPEB Amounts'!A232,'[2]Change in Proportion Layers'!$A$8:$A$321,0))</f>
        <v>43159</v>
      </c>
      <c r="M232" s="120">
        <f t="shared" si="10"/>
        <v>414290</v>
      </c>
      <c r="N232" s="121"/>
      <c r="O232" s="121">
        <f>ROUND(VLOOKUP(A232,'[2]Contribution Allocation_Report'!$A$9:$D$310,4,FALSE)*'PY_OPEB Amounts'!$O$323,0)</f>
        <v>-72711</v>
      </c>
      <c r="P232" s="121">
        <f>INDEX('[2]Change in Proportion Layers'!$X$8:$X$321,MATCH('PY_OPEB Amounts'!A232,'[2]Change in Proportion Layers'!$A$8:$A$321,0))</f>
        <v>81790</v>
      </c>
      <c r="Q232" s="121">
        <f t="shared" si="11"/>
        <v>9079</v>
      </c>
    </row>
    <row r="233" spans="1:17" ht="12" customHeight="1">
      <c r="A233" s="166">
        <v>3280</v>
      </c>
      <c r="B233" s="167" t="s">
        <v>221</v>
      </c>
      <c r="C233" s="122">
        <f>ROUND(VLOOKUP(A233,'[2]Contribution Allocation_Report'!$A$9:$D$310,4,FALSE)*'PY_OPEB Amounts'!$C$323,0)</f>
        <v>14035316</v>
      </c>
      <c r="D233" s="122">
        <f>ROUND(VLOOKUP(A233,'[2]Contribution Allocation_Report'!$A$9:$D$310,4,FALSE)*'PY_OPEB Amounts'!$D$323,0)</f>
        <v>205215</v>
      </c>
      <c r="E233" s="122">
        <f>ROUND(VLOOKUP(A233,'[2]Contribution Allocation_Report'!$A$9:$D$310,4,FALSE)*'PY_OPEB Amounts'!$E$323,0)</f>
        <v>2810000</v>
      </c>
      <c r="F233" s="122">
        <f>INDEX('[2]Change in Proportion Layers'!$Z$8:$Z$321,MATCH('PY_OPEB Amounts'!A233,'[2]Change in Proportion Layers'!$A$8:$A$321,0))</f>
        <v>2059461</v>
      </c>
      <c r="G233" s="122">
        <f t="shared" si="9"/>
        <v>5074676</v>
      </c>
      <c r="H233" s="122"/>
      <c r="I233" s="122">
        <f>ROUND(VLOOKUP(A233,'[2]Contribution Allocation_Report'!$A$9:$D$310,4,FALSE)*'PY_OPEB Amounts'!$I$323,0)</f>
        <v>2238341</v>
      </c>
      <c r="J233" s="122">
        <f>ROUND(VLOOKUP(A233,'[2]Contribution Allocation_Report'!$A$9:$D$310,4,FALSE)*'PY_OPEB Amounts'!$J$323,0)</f>
        <v>402310</v>
      </c>
      <c r="K233" s="122">
        <f>ROUND(VLOOKUP(A233,'[2]Contribution Allocation_Report'!$A$9:$D$310,4,FALSE)*'PY_OPEB Amounts'!$K$323,0)</f>
        <v>5074264</v>
      </c>
      <c r="L233" s="122">
        <f>INDEX('[2]Change in Proportion Layers'!$AA$8:$AA$321,MATCH('PY_OPEB Amounts'!A233,'[2]Change in Proportion Layers'!$A$8:$A$321,0))</f>
        <v>2895238</v>
      </c>
      <c r="M233" s="122">
        <f t="shared" si="10"/>
        <v>10610153</v>
      </c>
      <c r="N233" s="123"/>
      <c r="O233" s="123">
        <f>ROUND(VLOOKUP(A233,'[2]Contribution Allocation_Report'!$A$9:$D$310,4,FALSE)*'PY_OPEB Amounts'!$O$323,0)</f>
        <v>-1511486</v>
      </c>
      <c r="P233" s="123">
        <f>INDEX('[2]Change in Proportion Layers'!$X$8:$X$321,MATCH('PY_OPEB Amounts'!A233,'[2]Change in Proportion Layers'!$A$8:$A$321,0))</f>
        <v>-142278</v>
      </c>
      <c r="Q233" s="123">
        <f t="shared" si="11"/>
        <v>-1653764</v>
      </c>
    </row>
    <row r="234" spans="1:17" ht="12" customHeight="1">
      <c r="A234" s="164">
        <v>4260</v>
      </c>
      <c r="B234" s="168" t="s">
        <v>222</v>
      </c>
      <c r="C234" s="120">
        <f>ROUND(VLOOKUP(A234,'[2]Contribution Allocation_Report'!$A$9:$D$310,4,FALSE)*'PY_OPEB Amounts'!$C$323,0)</f>
        <v>1030209</v>
      </c>
      <c r="D234" s="120">
        <f>ROUND(VLOOKUP(A234,'[2]Contribution Allocation_Report'!$A$9:$D$310,4,FALSE)*'PY_OPEB Amounts'!$D$323,0)</f>
        <v>15063</v>
      </c>
      <c r="E234" s="120">
        <f>ROUND(VLOOKUP(A234,'[2]Contribution Allocation_Report'!$A$9:$D$310,4,FALSE)*'PY_OPEB Amounts'!$E$323,0)</f>
        <v>206257</v>
      </c>
      <c r="F234" s="120">
        <f>INDEX('[2]Change in Proportion Layers'!$Z$8:$Z$321,MATCH('PY_OPEB Amounts'!A234,'[2]Change in Proportion Layers'!$A$8:$A$321,0))</f>
        <v>58112</v>
      </c>
      <c r="G234" s="120">
        <f t="shared" si="9"/>
        <v>279432</v>
      </c>
      <c r="H234" s="120"/>
      <c r="I234" s="120">
        <f>ROUND(VLOOKUP(A234,'[2]Contribution Allocation_Report'!$A$9:$D$310,4,FALSE)*'PY_OPEB Amounts'!$I$323,0)</f>
        <v>164297</v>
      </c>
      <c r="J234" s="120">
        <f>ROUND(VLOOKUP(A234,'[2]Contribution Allocation_Report'!$A$9:$D$310,4,FALSE)*'PY_OPEB Amounts'!$J$323,0)</f>
        <v>29530</v>
      </c>
      <c r="K234" s="120">
        <f>ROUND(VLOOKUP(A234,'[2]Contribution Allocation_Report'!$A$9:$D$310,4,FALSE)*'PY_OPEB Amounts'!$K$323,0)</f>
        <v>372457</v>
      </c>
      <c r="L234" s="120">
        <f>INDEX('[2]Change in Proportion Layers'!$AA$8:$AA$321,MATCH('PY_OPEB Amounts'!A234,'[2]Change in Proportion Layers'!$A$8:$A$321,0))</f>
        <v>93296</v>
      </c>
      <c r="M234" s="120">
        <f t="shared" si="10"/>
        <v>659580</v>
      </c>
      <c r="N234" s="121"/>
      <c r="O234" s="121">
        <f>ROUND(VLOOKUP(A234,'[2]Contribution Allocation_Report'!$A$9:$D$310,4,FALSE)*'PY_OPEB Amounts'!$O$323,0)</f>
        <v>-110945</v>
      </c>
      <c r="P234" s="121">
        <f>INDEX('[2]Change in Proportion Layers'!$X$8:$X$321,MATCH('PY_OPEB Amounts'!A234,'[2]Change in Proportion Layers'!$A$8:$A$321,0))</f>
        <v>7359</v>
      </c>
      <c r="Q234" s="121">
        <f t="shared" si="11"/>
        <v>-103586</v>
      </c>
    </row>
    <row r="235" spans="1:17" ht="12" customHeight="1">
      <c r="A235" s="166">
        <v>1003</v>
      </c>
      <c r="B235" s="167" t="s">
        <v>223</v>
      </c>
      <c r="C235" s="122">
        <f>ROUND(VLOOKUP(A235,'[2]Contribution Allocation_Report'!$A$9:$D$310,4,FALSE)*'PY_OPEB Amounts'!$C$323,0)</f>
        <v>14390674</v>
      </c>
      <c r="D235" s="122">
        <f>ROUND(VLOOKUP(A235,'[2]Contribution Allocation_Report'!$A$9:$D$310,4,FALSE)*'PY_OPEB Amounts'!$D$323,0)</f>
        <v>210411</v>
      </c>
      <c r="E235" s="122">
        <f>ROUND(VLOOKUP(A235,'[2]Contribution Allocation_Report'!$A$9:$D$310,4,FALSE)*'PY_OPEB Amounts'!$E$323,0)</f>
        <v>2881146</v>
      </c>
      <c r="F235" s="122">
        <f>INDEX('[2]Change in Proportion Layers'!$Z$8:$Z$321,MATCH('PY_OPEB Amounts'!A235,'[2]Change in Proportion Layers'!$A$8:$A$321,0))</f>
        <v>0</v>
      </c>
      <c r="G235" s="122">
        <f t="shared" si="9"/>
        <v>3091557</v>
      </c>
      <c r="H235" s="122"/>
      <c r="I235" s="122">
        <f>ROUND(VLOOKUP(A235,'[2]Contribution Allocation_Report'!$A$9:$D$310,4,FALSE)*'PY_OPEB Amounts'!$I$323,0)</f>
        <v>2295013</v>
      </c>
      <c r="J235" s="122">
        <f>ROUND(VLOOKUP(A235,'[2]Contribution Allocation_Report'!$A$9:$D$310,4,FALSE)*'PY_OPEB Amounts'!$J$323,0)</f>
        <v>412496</v>
      </c>
      <c r="K235" s="122">
        <f>ROUND(VLOOKUP(A235,'[2]Contribution Allocation_Report'!$A$9:$D$310,4,FALSE)*'PY_OPEB Amounts'!$K$323,0)</f>
        <v>5202739</v>
      </c>
      <c r="L235" s="131">
        <f>INDEX('[2]Change in Proportion Layers'!$AA$8:$AA$321,MATCH('PY_OPEB Amounts'!A235,'[2]Change in Proportion Layers'!$A$8:$A$321,0))</f>
        <v>3285954</v>
      </c>
      <c r="M235" s="122">
        <f t="shared" si="10"/>
        <v>11196202</v>
      </c>
      <c r="N235" s="123"/>
      <c r="O235" s="123">
        <f>ROUND(VLOOKUP(A235,'[2]Contribution Allocation_Report'!$A$9:$D$310,4,FALSE)*'PY_OPEB Amounts'!$O$323,0)</f>
        <v>-1549755</v>
      </c>
      <c r="P235" s="123">
        <f>INDEX('[2]Change in Proportion Layers'!$X$8:$X$321,MATCH('PY_OPEB Amounts'!A235,'[2]Change in Proportion Layers'!$A$8:$A$321,0))</f>
        <v>-1053770</v>
      </c>
      <c r="Q235" s="123">
        <f t="shared" si="11"/>
        <v>-2603525</v>
      </c>
    </row>
    <row r="236" spans="1:17" ht="12" customHeight="1">
      <c r="A236" s="164">
        <v>3290</v>
      </c>
      <c r="B236" s="168" t="s">
        <v>224</v>
      </c>
      <c r="C236" s="120">
        <f>ROUND(VLOOKUP(A236,'[2]Contribution Allocation_Report'!$A$9:$D$310,4,FALSE)*'PY_OPEB Amounts'!$C$323,0)</f>
        <v>30630853</v>
      </c>
      <c r="D236" s="120">
        <f>ROUND(VLOOKUP(A236,'[2]Contribution Allocation_Report'!$A$9:$D$310,4,FALSE)*'PY_OPEB Amounts'!$D$323,0)</f>
        <v>447863</v>
      </c>
      <c r="E236" s="120">
        <f>ROUND(VLOOKUP(A236,'[2]Contribution Allocation_Report'!$A$9:$D$310,4,FALSE)*'PY_OPEB Amounts'!$E$323,0)</f>
        <v>6132580</v>
      </c>
      <c r="F236" s="120">
        <f>INDEX('[2]Change in Proportion Layers'!$Z$8:$Z$321,MATCH('PY_OPEB Amounts'!A236,'[2]Change in Proportion Layers'!$A$8:$A$321,0))</f>
        <v>768323</v>
      </c>
      <c r="G236" s="120">
        <f t="shared" si="9"/>
        <v>7348766</v>
      </c>
      <c r="H236" s="120"/>
      <c r="I236" s="120">
        <f>ROUND(VLOOKUP(A236,'[2]Contribution Allocation_Report'!$A$9:$D$310,4,FALSE)*'PY_OPEB Amounts'!$I$323,0)</f>
        <v>4884984</v>
      </c>
      <c r="J236" s="120">
        <f>ROUND(VLOOKUP(A236,'[2]Contribution Allocation_Report'!$A$9:$D$310,4,FALSE)*'PY_OPEB Amounts'!$J$323,0)</f>
        <v>878008</v>
      </c>
      <c r="K236" s="120">
        <f>ROUND(VLOOKUP(A236,'[2]Contribution Allocation_Report'!$A$9:$D$310,4,FALSE)*'PY_OPEB Amounts'!$K$323,0)</f>
        <v>11074139</v>
      </c>
      <c r="L236" s="130">
        <f>INDEX('[2]Change in Proportion Layers'!$AA$8:$AA$321,MATCH('PY_OPEB Amounts'!A236,'[2]Change in Proportion Layers'!$A$8:$A$321,0))</f>
        <v>4095590</v>
      </c>
      <c r="M236" s="120">
        <f t="shared" si="10"/>
        <v>20932721</v>
      </c>
      <c r="N236" s="121"/>
      <c r="O236" s="121">
        <f>ROUND(VLOOKUP(A236,'[2]Contribution Allocation_Report'!$A$9:$D$310,4,FALSE)*'PY_OPEB Amounts'!$O$323,0)</f>
        <v>-3298687</v>
      </c>
      <c r="P236" s="121">
        <f>INDEX('[2]Change in Proportion Layers'!$X$8:$X$321,MATCH('PY_OPEB Amounts'!A236,'[2]Change in Proportion Layers'!$A$8:$A$321,0))</f>
        <v>-522592</v>
      </c>
      <c r="Q236" s="121">
        <f t="shared" si="11"/>
        <v>-3821279</v>
      </c>
    </row>
    <row r="237" spans="1:17" ht="12" customHeight="1">
      <c r="A237" s="166">
        <v>1002</v>
      </c>
      <c r="B237" s="167" t="s">
        <v>225</v>
      </c>
      <c r="C237" s="122">
        <f>ROUND(VLOOKUP(A237,'[2]Contribution Allocation_Report'!$A$9:$D$310,4,FALSE)*'PY_OPEB Amounts'!$C$323,0)</f>
        <v>57348823</v>
      </c>
      <c r="D237" s="122">
        <f>ROUND(VLOOKUP(A237,'[2]Contribution Allocation_Report'!$A$9:$D$310,4,FALSE)*'PY_OPEB Amounts'!$D$323,0)</f>
        <v>838515</v>
      </c>
      <c r="E237" s="122">
        <f>ROUND(VLOOKUP(A237,'[2]Contribution Allocation_Report'!$A$9:$D$310,4,FALSE)*'PY_OPEB Amounts'!$E$323,0)</f>
        <v>11481765</v>
      </c>
      <c r="F237" s="122">
        <f>INDEX('[2]Change in Proportion Layers'!$Z$8:$Z$321,MATCH('PY_OPEB Amounts'!A237,'[2]Change in Proportion Layers'!$A$8:$A$321,0))</f>
        <v>2554933</v>
      </c>
      <c r="G237" s="122">
        <f t="shared" si="9"/>
        <v>14875213</v>
      </c>
      <c r="H237" s="122"/>
      <c r="I237" s="122">
        <f>ROUND(VLOOKUP(A237,'[2]Contribution Allocation_Report'!$A$9:$D$310,4,FALSE)*'PY_OPEB Amounts'!$I$323,0)</f>
        <v>9145944</v>
      </c>
      <c r="J237" s="122">
        <f>ROUND(VLOOKUP(A237,'[2]Contribution Allocation_Report'!$A$9:$D$310,4,FALSE)*'PY_OPEB Amounts'!$J$323,0)</f>
        <v>1643856</v>
      </c>
      <c r="K237" s="122">
        <f>ROUND(VLOOKUP(A237,'[2]Contribution Allocation_Report'!$A$9:$D$310,4,FALSE)*'PY_OPEB Amounts'!$K$323,0)</f>
        <v>20733632</v>
      </c>
      <c r="L237" s="122">
        <f>INDEX('[2]Change in Proportion Layers'!$AA$8:$AA$321,MATCH('PY_OPEB Amounts'!A237,'[2]Change in Proportion Layers'!$A$8:$A$321,0))</f>
        <v>2374121</v>
      </c>
      <c r="M237" s="122">
        <f t="shared" si="10"/>
        <v>33897553</v>
      </c>
      <c r="N237" s="123"/>
      <c r="O237" s="123">
        <f>ROUND(VLOOKUP(A237,'[2]Contribution Allocation_Report'!$A$9:$D$310,4,FALSE)*'PY_OPEB Amounts'!$O$323,0)</f>
        <v>-6175988</v>
      </c>
      <c r="P237" s="123">
        <f>INDEX('[2]Change in Proportion Layers'!$X$8:$X$321,MATCH('PY_OPEB Amounts'!A237,'[2]Change in Proportion Layers'!$A$8:$A$321,0))</f>
        <v>15254</v>
      </c>
      <c r="Q237" s="123">
        <f t="shared" si="11"/>
        <v>-6160734</v>
      </c>
    </row>
    <row r="238" spans="1:17" ht="12" customHeight="1">
      <c r="A238" s="164">
        <v>4270</v>
      </c>
      <c r="B238" s="168" t="s">
        <v>442</v>
      </c>
      <c r="C238" s="120">
        <f>ROUND(VLOOKUP(A238,'[2]Contribution Allocation_Report'!$A$9:$D$310,4,FALSE)*'PY_OPEB Amounts'!$C$323,0)</f>
        <v>1245068</v>
      </c>
      <c r="D238" s="120">
        <f>ROUND(VLOOKUP(A238,'[2]Contribution Allocation_Report'!$A$9:$D$310,4,FALSE)*'PY_OPEB Amounts'!$D$323,0)</f>
        <v>18205</v>
      </c>
      <c r="E238" s="120">
        <f>ROUND(VLOOKUP(A238,'[2]Contribution Allocation_Report'!$A$9:$D$310,4,FALSE)*'PY_OPEB Amounts'!$E$323,0)</f>
        <v>249274</v>
      </c>
      <c r="F238" s="120">
        <f>INDEX('[2]Change in Proportion Layers'!$Z$8:$Z$321,MATCH('PY_OPEB Amounts'!A238,'[2]Change in Proportion Layers'!$A$8:$A$321,0))</f>
        <v>1526191</v>
      </c>
      <c r="G238" s="120">
        <f t="shared" si="9"/>
        <v>1793670</v>
      </c>
      <c r="H238" s="120"/>
      <c r="I238" s="120">
        <f>ROUND(VLOOKUP(A238,'[2]Contribution Allocation_Report'!$A$9:$D$310,4,FALSE)*'PY_OPEB Amounts'!$I$323,0)</f>
        <v>198563</v>
      </c>
      <c r="J238" s="120">
        <f>ROUND(VLOOKUP(A238,'[2]Contribution Allocation_Report'!$A$9:$D$310,4,FALSE)*'PY_OPEB Amounts'!$J$323,0)</f>
        <v>35689</v>
      </c>
      <c r="K238" s="120">
        <f>ROUND(VLOOKUP(A238,'[2]Contribution Allocation_Report'!$A$9:$D$310,4,FALSE)*'PY_OPEB Amounts'!$K$323,0)</f>
        <v>450136</v>
      </c>
      <c r="L238" s="120">
        <f>INDEX('[2]Change in Proportion Layers'!$AA$8:$AA$321,MATCH('PY_OPEB Amounts'!A238,'[2]Change in Proportion Layers'!$A$8:$A$321,0))</f>
        <v>0</v>
      </c>
      <c r="M238" s="120">
        <f t="shared" si="10"/>
        <v>684388</v>
      </c>
      <c r="N238" s="121"/>
      <c r="O238" s="121">
        <f>ROUND(VLOOKUP(A238,'[2]Contribution Allocation_Report'!$A$9:$D$310,4,FALSE)*'PY_OPEB Amounts'!$O$323,0)</f>
        <v>-134083</v>
      </c>
      <c r="P238" s="121">
        <f>INDEX('[2]Change in Proportion Layers'!$X$8:$X$321,MATCH('PY_OPEB Amounts'!A238,'[2]Change in Proportion Layers'!$A$8:$A$321,0))</f>
        <v>306464</v>
      </c>
      <c r="Q238" s="121">
        <f t="shared" si="11"/>
        <v>172381</v>
      </c>
    </row>
    <row r="239" spans="1:17" ht="12" customHeight="1">
      <c r="A239" s="166">
        <v>24072</v>
      </c>
      <c r="B239" s="167" t="s">
        <v>226</v>
      </c>
      <c r="C239" s="122">
        <f>ROUND(VLOOKUP(A239,'[2]Contribution Allocation_Report'!$A$9:$D$310,4,FALSE)*'PY_OPEB Amounts'!$C$323,0)</f>
        <v>4071479</v>
      </c>
      <c r="D239" s="122">
        <f>ROUND(VLOOKUP(A239,'[2]Contribution Allocation_Report'!$A$9:$D$310,4,FALSE)*'PY_OPEB Amounts'!$D$323,0)</f>
        <v>59530</v>
      </c>
      <c r="E239" s="122">
        <f>ROUND(VLOOKUP(A239,'[2]Contribution Allocation_Report'!$A$9:$D$310,4,FALSE)*'PY_OPEB Amounts'!$E$323,0)</f>
        <v>815148</v>
      </c>
      <c r="F239" s="122">
        <f>INDEX('[2]Change in Proportion Layers'!$Z$8:$Z$321,MATCH('PY_OPEB Amounts'!A239,'[2]Change in Proportion Layers'!$A$8:$A$321,0))</f>
        <v>672158</v>
      </c>
      <c r="G239" s="122">
        <f t="shared" si="9"/>
        <v>1546836</v>
      </c>
      <c r="H239" s="122"/>
      <c r="I239" s="122">
        <f>ROUND(VLOOKUP(A239,'[2]Contribution Allocation_Report'!$A$9:$D$310,4,FALSE)*'PY_OPEB Amounts'!$I$323,0)</f>
        <v>649316</v>
      </c>
      <c r="J239" s="122">
        <f>ROUND(VLOOKUP(A239,'[2]Contribution Allocation_Report'!$A$9:$D$310,4,FALSE)*'PY_OPEB Amounts'!$J$323,0)</f>
        <v>116705</v>
      </c>
      <c r="K239" s="122">
        <f>ROUND(VLOOKUP(A239,'[2]Contribution Allocation_Report'!$A$9:$D$310,4,FALSE)*'PY_OPEB Amounts'!$K$323,0)</f>
        <v>1471984</v>
      </c>
      <c r="L239" s="131">
        <f>INDEX('[2]Change in Proportion Layers'!$AA$8:$AA$321,MATCH('PY_OPEB Amounts'!A239,'[2]Change in Proportion Layers'!$A$8:$A$321,0))</f>
        <v>149883</v>
      </c>
      <c r="M239" s="122">
        <f t="shared" si="10"/>
        <v>2387888</v>
      </c>
      <c r="N239" s="123"/>
      <c r="O239" s="123">
        <f>ROUND(VLOOKUP(A239,'[2]Contribution Allocation_Report'!$A$9:$D$310,4,FALSE)*'PY_OPEB Amounts'!$O$323,0)</f>
        <v>-438464</v>
      </c>
      <c r="P239" s="123">
        <f>INDEX('[2]Change in Proportion Layers'!$X$8:$X$321,MATCH('PY_OPEB Amounts'!A239,'[2]Change in Proportion Layers'!$A$8:$A$321,0))</f>
        <v>66426</v>
      </c>
      <c r="Q239" s="123">
        <f t="shared" si="11"/>
        <v>-372038</v>
      </c>
    </row>
    <row r="240" spans="1:17" ht="12" customHeight="1">
      <c r="A240" s="164">
        <v>14366</v>
      </c>
      <c r="B240" s="168" t="s">
        <v>227</v>
      </c>
      <c r="C240" s="120">
        <f>ROUND(VLOOKUP(A240,'[2]Contribution Allocation_Report'!$A$9:$D$310,4,FALSE)*'PY_OPEB Amounts'!$C$323,0)</f>
        <v>1855757</v>
      </c>
      <c r="D240" s="120">
        <f>ROUND(VLOOKUP(A240,'[2]Contribution Allocation_Report'!$A$9:$D$310,4,FALSE)*'PY_OPEB Amounts'!$D$323,0)</f>
        <v>27134</v>
      </c>
      <c r="E240" s="120">
        <f>ROUND(VLOOKUP(A240,'[2]Contribution Allocation_Report'!$A$9:$D$310,4,FALSE)*'PY_OPEB Amounts'!$E$323,0)</f>
        <v>371540</v>
      </c>
      <c r="F240" s="120">
        <f>INDEX('[2]Change in Proportion Layers'!$Z$8:$Z$321,MATCH('PY_OPEB Amounts'!A240,'[2]Change in Proportion Layers'!$A$8:$A$321,0))</f>
        <v>86506</v>
      </c>
      <c r="G240" s="120">
        <f t="shared" si="9"/>
        <v>485180</v>
      </c>
      <c r="H240" s="120"/>
      <c r="I240" s="120">
        <f>ROUND(VLOOKUP(A240,'[2]Contribution Allocation_Report'!$A$9:$D$310,4,FALSE)*'PY_OPEB Amounts'!$I$323,0)</f>
        <v>295955</v>
      </c>
      <c r="J240" s="120">
        <f>ROUND(VLOOKUP(A240,'[2]Contribution Allocation_Report'!$A$9:$D$310,4,FALSE)*'PY_OPEB Amounts'!$J$323,0)</f>
        <v>53194</v>
      </c>
      <c r="K240" s="120">
        <f>ROUND(VLOOKUP(A240,'[2]Contribution Allocation_Report'!$A$9:$D$310,4,FALSE)*'PY_OPEB Amounts'!$K$323,0)</f>
        <v>670922</v>
      </c>
      <c r="L240" s="130">
        <f>INDEX('[2]Change in Proportion Layers'!$AA$8:$AA$321,MATCH('PY_OPEB Amounts'!A240,'[2]Change in Proportion Layers'!$A$8:$A$321,0))</f>
        <v>1507</v>
      </c>
      <c r="M240" s="120">
        <f t="shared" si="10"/>
        <v>1021578</v>
      </c>
      <c r="N240" s="121"/>
      <c r="O240" s="121">
        <f>ROUND(VLOOKUP(A240,'[2]Contribution Allocation_Report'!$A$9:$D$310,4,FALSE)*'PY_OPEB Amounts'!$O$323,0)</f>
        <v>-199850</v>
      </c>
      <c r="P240" s="121">
        <f>INDEX('[2]Change in Proportion Layers'!$X$8:$X$321,MATCH('PY_OPEB Amounts'!A240,'[2]Change in Proportion Layers'!$A$8:$A$321,0))</f>
        <v>20743</v>
      </c>
      <c r="Q240" s="121">
        <f t="shared" si="11"/>
        <v>-179107</v>
      </c>
    </row>
    <row r="241" spans="1:17" ht="12" customHeight="1">
      <c r="A241" s="166">
        <v>4317</v>
      </c>
      <c r="B241" s="167" t="s">
        <v>228</v>
      </c>
      <c r="C241" s="122">
        <f>ROUND(VLOOKUP(A241,'[2]Contribution Allocation_Report'!$A$9:$D$310,4,FALSE)*'PY_OPEB Amounts'!$C$323,0)</f>
        <v>701174</v>
      </c>
      <c r="D241" s="122">
        <f>ROUND(VLOOKUP(A241,'[2]Contribution Allocation_Report'!$A$9:$D$310,4,FALSE)*'PY_OPEB Amounts'!$D$323,0)</f>
        <v>10252</v>
      </c>
      <c r="E241" s="122">
        <f>ROUND(VLOOKUP(A241,'[2]Contribution Allocation_Report'!$A$9:$D$310,4,FALSE)*'PY_OPEB Amounts'!$E$323,0)</f>
        <v>140381</v>
      </c>
      <c r="F241" s="122">
        <f>INDEX('[2]Change in Proportion Layers'!$Z$8:$Z$321,MATCH('PY_OPEB Amounts'!A241,'[2]Change in Proportion Layers'!$A$8:$A$321,0))</f>
        <v>529049</v>
      </c>
      <c r="G241" s="122">
        <f t="shared" si="9"/>
        <v>679682</v>
      </c>
      <c r="H241" s="122"/>
      <c r="I241" s="122">
        <f>ROUND(VLOOKUP(A241,'[2]Contribution Allocation_Report'!$A$9:$D$310,4,FALSE)*'PY_OPEB Amounts'!$I$323,0)</f>
        <v>111823</v>
      </c>
      <c r="J241" s="122">
        <f>ROUND(VLOOKUP(A241,'[2]Contribution Allocation_Report'!$A$9:$D$310,4,FALSE)*'PY_OPEB Amounts'!$J$323,0)</f>
        <v>20099</v>
      </c>
      <c r="K241" s="122">
        <f>ROUND(VLOOKUP(A241,'[2]Contribution Allocation_Report'!$A$9:$D$310,4,FALSE)*'PY_OPEB Amounts'!$K$323,0)</f>
        <v>253499</v>
      </c>
      <c r="L241" s="122">
        <f>INDEX('[2]Change in Proportion Layers'!$AA$8:$AA$321,MATCH('PY_OPEB Amounts'!A241,'[2]Change in Proportion Layers'!$A$8:$A$321,0))</f>
        <v>18402</v>
      </c>
      <c r="M241" s="122">
        <f t="shared" si="10"/>
        <v>403823</v>
      </c>
      <c r="N241" s="123"/>
      <c r="O241" s="123">
        <f>ROUND(VLOOKUP(A241,'[2]Contribution Allocation_Report'!$A$9:$D$310,4,FALSE)*'PY_OPEB Amounts'!$O$323,0)</f>
        <v>-75511</v>
      </c>
      <c r="P241" s="123">
        <f>INDEX('[2]Change in Proportion Layers'!$X$8:$X$321,MATCH('PY_OPEB Amounts'!A241,'[2]Change in Proportion Layers'!$A$8:$A$321,0))</f>
        <v>95795</v>
      </c>
      <c r="Q241" s="123">
        <f t="shared" si="11"/>
        <v>20284</v>
      </c>
    </row>
    <row r="242" spans="1:17" ht="12" customHeight="1">
      <c r="A242" s="164">
        <v>32120</v>
      </c>
      <c r="B242" s="168" t="s">
        <v>229</v>
      </c>
      <c r="C242" s="120">
        <f>ROUND(VLOOKUP(A242,'[2]Contribution Allocation_Report'!$A$9:$D$310,4,FALSE)*'PY_OPEB Amounts'!$C$323,0)</f>
        <v>819955</v>
      </c>
      <c r="D242" s="120">
        <f>ROUND(VLOOKUP(A242,'[2]Contribution Allocation_Report'!$A$9:$D$310,4,FALSE)*'PY_OPEB Amounts'!$D$323,0)</f>
        <v>11989</v>
      </c>
      <c r="E242" s="120">
        <f>ROUND(VLOOKUP(A242,'[2]Contribution Allocation_Report'!$A$9:$D$310,4,FALSE)*'PY_OPEB Amounts'!$E$323,0)</f>
        <v>164163</v>
      </c>
      <c r="F242" s="120">
        <f>INDEX('[2]Change in Proportion Layers'!$Z$8:$Z$321,MATCH('PY_OPEB Amounts'!A242,'[2]Change in Proportion Layers'!$A$8:$A$321,0))</f>
        <v>475280</v>
      </c>
      <c r="G242" s="120">
        <f t="shared" si="9"/>
        <v>651432</v>
      </c>
      <c r="H242" s="120"/>
      <c r="I242" s="120">
        <f>ROUND(VLOOKUP(A242,'[2]Contribution Allocation_Report'!$A$9:$D$310,4,FALSE)*'PY_OPEB Amounts'!$I$323,0)</f>
        <v>130766</v>
      </c>
      <c r="J242" s="120">
        <f>ROUND(VLOOKUP(A242,'[2]Contribution Allocation_Report'!$A$9:$D$310,4,FALSE)*'PY_OPEB Amounts'!$J$323,0)</f>
        <v>23503</v>
      </c>
      <c r="K242" s="120">
        <f>ROUND(VLOOKUP(A242,'[2]Contribution Allocation_Report'!$A$9:$D$310,4,FALSE)*'PY_OPEB Amounts'!$K$323,0)</f>
        <v>296443</v>
      </c>
      <c r="L242" s="120">
        <f>INDEX('[2]Change in Proportion Layers'!$AA$8:$AA$321,MATCH('PY_OPEB Amounts'!A242,'[2]Change in Proportion Layers'!$A$8:$A$321,0))</f>
        <v>0</v>
      </c>
      <c r="M242" s="120">
        <f t="shared" si="10"/>
        <v>450712</v>
      </c>
      <c r="N242" s="121"/>
      <c r="O242" s="121">
        <f>ROUND(VLOOKUP(A242,'[2]Contribution Allocation_Report'!$A$9:$D$310,4,FALSE)*'PY_OPEB Amounts'!$O$323,0)</f>
        <v>-88302</v>
      </c>
      <c r="P242" s="121">
        <f>INDEX('[2]Change in Proportion Layers'!$X$8:$X$321,MATCH('PY_OPEB Amounts'!A242,'[2]Change in Proportion Layers'!$A$8:$A$321,0))</f>
        <v>144257</v>
      </c>
      <c r="Q242" s="121">
        <f t="shared" si="11"/>
        <v>55955</v>
      </c>
    </row>
    <row r="243" spans="1:17" ht="12" customHeight="1">
      <c r="A243" s="166">
        <v>3300</v>
      </c>
      <c r="B243" s="167" t="s">
        <v>230</v>
      </c>
      <c r="C243" s="122">
        <f>ROUND(VLOOKUP(A243,'[2]Contribution Allocation_Report'!$A$9:$D$310,4,FALSE)*'PY_OPEB Amounts'!$C$323,0)</f>
        <v>1982765</v>
      </c>
      <c r="D243" s="122">
        <f>ROUND(VLOOKUP(A243,'[2]Contribution Allocation_Report'!$A$9:$D$310,4,FALSE)*'PY_OPEB Amounts'!$D$323,0)</f>
        <v>28991</v>
      </c>
      <c r="E243" s="122">
        <f>ROUND(VLOOKUP(A243,'[2]Contribution Allocation_Report'!$A$9:$D$310,4,FALSE)*'PY_OPEB Amounts'!$E$323,0)</f>
        <v>396968</v>
      </c>
      <c r="F243" s="122">
        <f>INDEX('[2]Change in Proportion Layers'!$Z$8:$Z$321,MATCH('PY_OPEB Amounts'!A243,'[2]Change in Proportion Layers'!$A$8:$A$321,0))</f>
        <v>1092904</v>
      </c>
      <c r="G243" s="122">
        <f t="shared" si="9"/>
        <v>1518863</v>
      </c>
      <c r="H243" s="122"/>
      <c r="I243" s="122">
        <f>ROUND(VLOOKUP(A243,'[2]Contribution Allocation_Report'!$A$9:$D$310,4,FALSE)*'PY_OPEB Amounts'!$I$323,0)</f>
        <v>316210</v>
      </c>
      <c r="J243" s="122">
        <f>ROUND(VLOOKUP(A243,'[2]Contribution Allocation_Report'!$A$9:$D$310,4,FALSE)*'PY_OPEB Amounts'!$J$323,0)</f>
        <v>56834</v>
      </c>
      <c r="K243" s="122">
        <f>ROUND(VLOOKUP(A243,'[2]Contribution Allocation_Report'!$A$9:$D$310,4,FALSE)*'PY_OPEB Amounts'!$K$323,0)</f>
        <v>716840</v>
      </c>
      <c r="L243" s="122">
        <f>INDEX('[2]Change in Proportion Layers'!$AA$8:$AA$321,MATCH('PY_OPEB Amounts'!A243,'[2]Change in Proportion Layers'!$A$8:$A$321,0))</f>
        <v>250557</v>
      </c>
      <c r="M243" s="122">
        <f t="shared" si="10"/>
        <v>1340441</v>
      </c>
      <c r="N243" s="123"/>
      <c r="O243" s="123">
        <f>ROUND(VLOOKUP(A243,'[2]Contribution Allocation_Report'!$A$9:$D$310,4,FALSE)*'PY_OPEB Amounts'!$O$323,0)</f>
        <v>-213527</v>
      </c>
      <c r="P243" s="123">
        <f>INDEX('[2]Change in Proportion Layers'!$X$8:$X$321,MATCH('PY_OPEB Amounts'!A243,'[2]Change in Proportion Layers'!$A$8:$A$321,0))</f>
        <v>571010</v>
      </c>
      <c r="Q243" s="123">
        <f t="shared" si="11"/>
        <v>357483</v>
      </c>
    </row>
    <row r="244" spans="1:17" ht="12" customHeight="1">
      <c r="A244" s="164">
        <v>8026</v>
      </c>
      <c r="B244" s="168" t="s">
        <v>231</v>
      </c>
      <c r="C244" s="120">
        <f>ROUND(VLOOKUP(A244,'[2]Contribution Allocation_Report'!$A$9:$D$310,4,FALSE)*'PY_OPEB Amounts'!$C$323,0)</f>
        <v>11168763</v>
      </c>
      <c r="D244" s="120">
        <f>ROUND(VLOOKUP(A244,'[2]Contribution Allocation_Report'!$A$9:$D$310,4,FALSE)*'PY_OPEB Amounts'!$D$323,0)</f>
        <v>163302</v>
      </c>
      <c r="E244" s="120">
        <f>ROUND(VLOOKUP(A244,'[2]Contribution Allocation_Report'!$A$9:$D$310,4,FALSE)*'PY_OPEB Amounts'!$E$323,0)</f>
        <v>2236090</v>
      </c>
      <c r="F244" s="120">
        <f>INDEX('[2]Change in Proportion Layers'!$Z$8:$Z$321,MATCH('PY_OPEB Amounts'!A244,'[2]Change in Proportion Layers'!$A$8:$A$321,0))</f>
        <v>0</v>
      </c>
      <c r="G244" s="120">
        <f t="shared" si="9"/>
        <v>2399392</v>
      </c>
      <c r="H244" s="120"/>
      <c r="I244" s="120">
        <f>ROUND(VLOOKUP(A244,'[2]Contribution Allocation_Report'!$A$9:$D$310,4,FALSE)*'PY_OPEB Amounts'!$I$323,0)</f>
        <v>1781185</v>
      </c>
      <c r="J244" s="120">
        <f>ROUND(VLOOKUP(A244,'[2]Contribution Allocation_Report'!$A$9:$D$310,4,FALSE)*'PY_OPEB Amounts'!$J$323,0)</f>
        <v>320143</v>
      </c>
      <c r="K244" s="120">
        <f>ROUND(VLOOKUP(A244,'[2]Contribution Allocation_Report'!$A$9:$D$310,4,FALSE)*'PY_OPEB Amounts'!$K$323,0)</f>
        <v>4037904</v>
      </c>
      <c r="L244" s="120">
        <f>INDEX('[2]Change in Proportion Layers'!$AA$8:$AA$321,MATCH('PY_OPEB Amounts'!A244,'[2]Change in Proportion Layers'!$A$8:$A$321,0))</f>
        <v>1232486</v>
      </c>
      <c r="M244" s="120">
        <f t="shared" si="10"/>
        <v>7371718</v>
      </c>
      <c r="N244" s="121"/>
      <c r="O244" s="121">
        <f>ROUND(VLOOKUP(A244,'[2]Contribution Allocation_Report'!$A$9:$D$310,4,FALSE)*'PY_OPEB Amounts'!$O$323,0)</f>
        <v>-1202782</v>
      </c>
      <c r="P244" s="121">
        <f>INDEX('[2]Change in Proportion Layers'!$X$8:$X$321,MATCH('PY_OPEB Amounts'!A244,'[2]Change in Proportion Layers'!$A$8:$A$321,0))</f>
        <v>-310979</v>
      </c>
      <c r="Q244" s="121">
        <f t="shared" si="11"/>
        <v>-1513761</v>
      </c>
    </row>
    <row r="245" spans="1:17" ht="12" customHeight="1">
      <c r="A245" s="166">
        <v>32119</v>
      </c>
      <c r="B245" s="167" t="s">
        <v>232</v>
      </c>
      <c r="C245" s="122">
        <f>ROUND(VLOOKUP(A245,'[2]Contribution Allocation_Report'!$A$9:$D$310,4,FALSE)*'PY_OPEB Amounts'!$C$323,0)</f>
        <v>378390</v>
      </c>
      <c r="D245" s="122">
        <f>ROUND(VLOOKUP(A245,'[2]Contribution Allocation_Report'!$A$9:$D$310,4,FALSE)*'PY_OPEB Amounts'!$D$323,0)</f>
        <v>5533</v>
      </c>
      <c r="E245" s="122">
        <f>ROUND(VLOOKUP(A245,'[2]Contribution Allocation_Report'!$A$9:$D$310,4,FALSE)*'PY_OPEB Amounts'!$E$323,0)</f>
        <v>75757</v>
      </c>
      <c r="F245" s="122">
        <f>INDEX('[2]Change in Proportion Layers'!$Z$8:$Z$321,MATCH('PY_OPEB Amounts'!A245,'[2]Change in Proportion Layers'!$A$8:$A$321,0))</f>
        <v>198384</v>
      </c>
      <c r="G245" s="122">
        <f t="shared" si="9"/>
        <v>279674</v>
      </c>
      <c r="H245" s="122"/>
      <c r="I245" s="122">
        <f>ROUND(VLOOKUP(A245,'[2]Contribution Allocation_Report'!$A$9:$D$310,4,FALSE)*'PY_OPEB Amounts'!$I$323,0)</f>
        <v>60345</v>
      </c>
      <c r="J245" s="122">
        <f>ROUND(VLOOKUP(A245,'[2]Contribution Allocation_Report'!$A$9:$D$310,4,FALSE)*'PY_OPEB Amounts'!$J$323,0)</f>
        <v>10846</v>
      </c>
      <c r="K245" s="122">
        <f>ROUND(VLOOKUP(A245,'[2]Contribution Allocation_Report'!$A$9:$D$310,4,FALSE)*'PY_OPEB Amounts'!$K$323,0)</f>
        <v>136801</v>
      </c>
      <c r="L245" s="131">
        <f>INDEX('[2]Change in Proportion Layers'!$AA$8:$AA$321,MATCH('PY_OPEB Amounts'!A245,'[2]Change in Proportion Layers'!$A$8:$A$321,0))</f>
        <v>74504</v>
      </c>
      <c r="M245" s="122">
        <f t="shared" si="10"/>
        <v>282496</v>
      </c>
      <c r="N245" s="123"/>
      <c r="O245" s="123">
        <f>ROUND(VLOOKUP(A245,'[2]Contribution Allocation_Report'!$A$9:$D$310,4,FALSE)*'PY_OPEB Amounts'!$O$323,0)</f>
        <v>-40749</v>
      </c>
      <c r="P245" s="123">
        <f>INDEX('[2]Change in Proportion Layers'!$X$8:$X$321,MATCH('PY_OPEB Amounts'!A245,'[2]Change in Proportion Layers'!$A$8:$A$321,0))</f>
        <v>57327</v>
      </c>
      <c r="Q245" s="123">
        <f t="shared" si="11"/>
        <v>16578</v>
      </c>
    </row>
    <row r="246" spans="1:17" ht="12" customHeight="1">
      <c r="A246" s="164">
        <v>25076</v>
      </c>
      <c r="B246" s="168" t="s">
        <v>233</v>
      </c>
      <c r="C246" s="120">
        <f>ROUND(VLOOKUP(A246,'[2]Contribution Allocation_Report'!$A$9:$D$310,4,FALSE)*'PY_OPEB Amounts'!$C$323,0)</f>
        <v>6747191</v>
      </c>
      <c r="D246" s="120">
        <f>ROUND(VLOOKUP(A246,'[2]Contribution Allocation_Report'!$A$9:$D$310,4,FALSE)*'PY_OPEB Amounts'!$D$323,0)</f>
        <v>98653</v>
      </c>
      <c r="E246" s="120">
        <f>ROUND(VLOOKUP(A246,'[2]Contribution Allocation_Report'!$A$9:$D$310,4,FALSE)*'PY_OPEB Amounts'!$E$323,0)</f>
        <v>1350850</v>
      </c>
      <c r="F246" s="120">
        <f>INDEX('[2]Change in Proportion Layers'!$Z$8:$Z$321,MATCH('PY_OPEB Amounts'!A246,'[2]Change in Proportion Layers'!$A$8:$A$321,0))</f>
        <v>282547</v>
      </c>
      <c r="G246" s="120">
        <f t="shared" si="9"/>
        <v>1732050</v>
      </c>
      <c r="H246" s="120"/>
      <c r="I246" s="120">
        <f>ROUND(VLOOKUP(A246,'[2]Contribution Allocation_Report'!$A$9:$D$310,4,FALSE)*'PY_OPEB Amounts'!$I$323,0)</f>
        <v>1076037</v>
      </c>
      <c r="J246" s="120">
        <f>ROUND(VLOOKUP(A246,'[2]Contribution Allocation_Report'!$A$9:$D$310,4,FALSE)*'PY_OPEB Amounts'!$J$323,0)</f>
        <v>193403</v>
      </c>
      <c r="K246" s="120">
        <f>ROUND(VLOOKUP(A246,'[2]Contribution Allocation_Report'!$A$9:$D$310,4,FALSE)*'PY_OPEB Amounts'!$K$323,0)</f>
        <v>2439349</v>
      </c>
      <c r="L246" s="130">
        <f>INDEX('[2]Change in Proportion Layers'!$AA$8:$AA$321,MATCH('PY_OPEB Amounts'!A246,'[2]Change in Proportion Layers'!$A$8:$A$321,0))</f>
        <v>488688</v>
      </c>
      <c r="M246" s="120">
        <f t="shared" si="10"/>
        <v>4197477</v>
      </c>
      <c r="N246" s="121"/>
      <c r="O246" s="121">
        <f>ROUND(VLOOKUP(A246,'[2]Contribution Allocation_Report'!$A$9:$D$310,4,FALSE)*'PY_OPEB Amounts'!$O$323,0)</f>
        <v>-726616</v>
      </c>
      <c r="P246" s="121">
        <f>INDEX('[2]Change in Proportion Layers'!$X$8:$X$321,MATCH('PY_OPEB Amounts'!A246,'[2]Change in Proportion Layers'!$A$8:$A$321,0))</f>
        <v>-39584</v>
      </c>
      <c r="Q246" s="121">
        <f t="shared" si="11"/>
        <v>-766200</v>
      </c>
    </row>
    <row r="247" spans="1:17" ht="12" customHeight="1">
      <c r="A247" s="166">
        <v>2440</v>
      </c>
      <c r="B247" s="167" t="s">
        <v>413</v>
      </c>
      <c r="C247" s="122">
        <f>ROUND(VLOOKUP(A247,'[2]Contribution Allocation_Report'!$A$9:$D$310,4,FALSE)*'PY_OPEB Amounts'!$C$323,0)</f>
        <v>659386</v>
      </c>
      <c r="D247" s="122">
        <f>ROUND(VLOOKUP(A247,'[2]Contribution Allocation_Report'!$A$9:$D$310,4,FALSE)*'PY_OPEB Amounts'!$D$323,0)</f>
        <v>9641</v>
      </c>
      <c r="E247" s="122">
        <f>ROUND(VLOOKUP(A247,'[2]Contribution Allocation_Report'!$A$9:$D$310,4,FALSE)*'PY_OPEB Amounts'!$E$323,0)</f>
        <v>132015</v>
      </c>
      <c r="F247" s="122">
        <f>INDEX('[2]Change in Proportion Layers'!$Z$8:$Z$321,MATCH('PY_OPEB Amounts'!A247,'[2]Change in Proportion Layers'!$A$8:$A$321,0))</f>
        <v>722449</v>
      </c>
      <c r="G247" s="122">
        <f t="shared" si="9"/>
        <v>864105</v>
      </c>
      <c r="H247" s="122"/>
      <c r="I247" s="122">
        <f>ROUND(VLOOKUP(A247,'[2]Contribution Allocation_Report'!$A$9:$D$310,4,FALSE)*'PY_OPEB Amounts'!$I$323,0)</f>
        <v>105158</v>
      </c>
      <c r="J247" s="122">
        <f>ROUND(VLOOKUP(A247,'[2]Contribution Allocation_Report'!$A$9:$D$310,4,FALSE)*'PY_OPEB Amounts'!$J$323,0)</f>
        <v>18901</v>
      </c>
      <c r="K247" s="122">
        <f>ROUND(VLOOKUP(A247,'[2]Contribution Allocation_Report'!$A$9:$D$310,4,FALSE)*'PY_OPEB Amounts'!$K$323,0)</f>
        <v>238391</v>
      </c>
      <c r="L247" s="131">
        <f>INDEX('[2]Change in Proportion Layers'!$AA$8:$AA$321,MATCH('PY_OPEB Amounts'!A247,'[2]Change in Proportion Layers'!$A$8:$A$321,0))</f>
        <v>0</v>
      </c>
      <c r="M247" s="122">
        <f t="shared" si="10"/>
        <v>362450</v>
      </c>
      <c r="N247" s="123"/>
      <c r="O247" s="123">
        <f>ROUND(VLOOKUP(A247,'[2]Contribution Allocation_Report'!$A$9:$D$310,4,FALSE)*'PY_OPEB Amounts'!$O$323,0)</f>
        <v>-71010</v>
      </c>
      <c r="P247" s="123">
        <f>INDEX('[2]Change in Proportion Layers'!$X$8:$X$321,MATCH('PY_OPEB Amounts'!A247,'[2]Change in Proportion Layers'!$A$8:$A$321,0))</f>
        <v>169349</v>
      </c>
      <c r="Q247" s="123">
        <f t="shared" si="11"/>
        <v>98339</v>
      </c>
    </row>
    <row r="248" spans="1:17" ht="12" customHeight="1">
      <c r="A248" s="164">
        <v>2309</v>
      </c>
      <c r="B248" s="168" t="s">
        <v>234</v>
      </c>
      <c r="C248" s="120">
        <f>ROUND(VLOOKUP(A248,'[2]Contribution Allocation_Report'!$A$9:$D$310,4,FALSE)*'PY_OPEB Amounts'!$C$323,0)</f>
        <v>2875766</v>
      </c>
      <c r="D248" s="120">
        <f>ROUND(VLOOKUP(A248,'[2]Contribution Allocation_Report'!$A$9:$D$310,4,FALSE)*'PY_OPEB Amounts'!$D$323,0)</f>
        <v>42047</v>
      </c>
      <c r="E248" s="120">
        <f>ROUND(VLOOKUP(A248,'[2]Contribution Allocation_Report'!$A$9:$D$310,4,FALSE)*'PY_OPEB Amounts'!$E$323,0)</f>
        <v>575755</v>
      </c>
      <c r="F248" s="120">
        <f>INDEX('[2]Change in Proportion Layers'!$Z$8:$Z$321,MATCH('PY_OPEB Amounts'!A248,'[2]Change in Proportion Layers'!$A$8:$A$321,0))</f>
        <v>416544</v>
      </c>
      <c r="G248" s="120">
        <f t="shared" si="9"/>
        <v>1034346</v>
      </c>
      <c r="H248" s="120"/>
      <c r="I248" s="120">
        <f>ROUND(VLOOKUP(A248,'[2]Contribution Allocation_Report'!$A$9:$D$310,4,FALSE)*'PY_OPEB Amounts'!$I$323,0)</f>
        <v>458625</v>
      </c>
      <c r="J248" s="120">
        <f>ROUND(VLOOKUP(A248,'[2]Contribution Allocation_Report'!$A$9:$D$310,4,FALSE)*'PY_OPEB Amounts'!$J$323,0)</f>
        <v>82431</v>
      </c>
      <c r="K248" s="120">
        <f>ROUND(VLOOKUP(A248,'[2]Contribution Allocation_Report'!$A$9:$D$310,4,FALSE)*'PY_OPEB Amounts'!$K$323,0)</f>
        <v>1039691</v>
      </c>
      <c r="L248" s="130">
        <f>INDEX('[2]Change in Proportion Layers'!$AA$8:$AA$321,MATCH('PY_OPEB Amounts'!A248,'[2]Change in Proportion Layers'!$A$8:$A$321,0))</f>
        <v>28687</v>
      </c>
      <c r="M248" s="120">
        <f t="shared" si="10"/>
        <v>1609434</v>
      </c>
      <c r="N248" s="121"/>
      <c r="O248" s="121">
        <f>ROUND(VLOOKUP(A248,'[2]Contribution Allocation_Report'!$A$9:$D$310,4,FALSE)*'PY_OPEB Amounts'!$O$323,0)</f>
        <v>-309696</v>
      </c>
      <c r="P248" s="121">
        <f>INDEX('[2]Change in Proportion Layers'!$X$8:$X$321,MATCH('PY_OPEB Amounts'!A248,'[2]Change in Proportion Layers'!$A$8:$A$321,0))</f>
        <v>114629</v>
      </c>
      <c r="Q248" s="121">
        <f t="shared" si="11"/>
        <v>-195067</v>
      </c>
    </row>
    <row r="249" spans="1:17" ht="12" customHeight="1">
      <c r="A249" s="166">
        <v>2396</v>
      </c>
      <c r="B249" s="167" t="s">
        <v>235</v>
      </c>
      <c r="C249" s="122">
        <f>ROUND(VLOOKUP(A249,'[2]Contribution Allocation_Report'!$A$9:$D$310,4,FALSE)*'PY_OPEB Amounts'!$C$323,0)</f>
        <v>763690</v>
      </c>
      <c r="D249" s="122">
        <f>ROUND(VLOOKUP(A249,'[2]Contribution Allocation_Report'!$A$9:$D$310,4,FALSE)*'PY_OPEB Amounts'!$D$323,0)</f>
        <v>11166</v>
      </c>
      <c r="E249" s="122">
        <f>ROUND(VLOOKUP(A249,'[2]Contribution Allocation_Report'!$A$9:$D$310,4,FALSE)*'PY_OPEB Amounts'!$E$323,0)</f>
        <v>152898</v>
      </c>
      <c r="F249" s="122">
        <f>INDEX('[2]Change in Proportion Layers'!$Z$8:$Z$321,MATCH('PY_OPEB Amounts'!A249,'[2]Change in Proportion Layers'!$A$8:$A$321,0))</f>
        <v>205577</v>
      </c>
      <c r="G249" s="122">
        <f t="shared" si="9"/>
        <v>369641</v>
      </c>
      <c r="H249" s="122"/>
      <c r="I249" s="122">
        <f>ROUND(VLOOKUP(A249,'[2]Contribution Allocation_Report'!$A$9:$D$310,4,FALSE)*'PY_OPEB Amounts'!$I$323,0)</f>
        <v>121793</v>
      </c>
      <c r="J249" s="122">
        <f>ROUND(VLOOKUP(A249,'[2]Contribution Allocation_Report'!$A$9:$D$310,4,FALSE)*'PY_OPEB Amounts'!$J$323,0)</f>
        <v>21891</v>
      </c>
      <c r="K249" s="122">
        <f>ROUND(VLOOKUP(A249,'[2]Contribution Allocation_Report'!$A$9:$D$310,4,FALSE)*'PY_OPEB Amounts'!$K$323,0)</f>
        <v>276101</v>
      </c>
      <c r="L249" s="131">
        <f>INDEX('[2]Change in Proportion Layers'!$AA$8:$AA$321,MATCH('PY_OPEB Amounts'!A249,'[2]Change in Proportion Layers'!$A$8:$A$321,0))</f>
        <v>15224</v>
      </c>
      <c r="M249" s="122">
        <f t="shared" si="10"/>
        <v>435009</v>
      </c>
      <c r="N249" s="123"/>
      <c r="O249" s="123">
        <f>ROUND(VLOOKUP(A249,'[2]Contribution Allocation_Report'!$A$9:$D$310,4,FALSE)*'PY_OPEB Amounts'!$O$323,0)</f>
        <v>-82243</v>
      </c>
      <c r="P249" s="123">
        <f>INDEX('[2]Change in Proportion Layers'!$X$8:$X$321,MATCH('PY_OPEB Amounts'!A249,'[2]Change in Proportion Layers'!$A$8:$A$321,0))</f>
        <v>45636</v>
      </c>
      <c r="Q249" s="123">
        <f t="shared" si="11"/>
        <v>-36607</v>
      </c>
    </row>
    <row r="250" spans="1:17" ht="12" customHeight="1">
      <c r="A250" s="164">
        <v>3380</v>
      </c>
      <c r="B250" s="165" t="s">
        <v>236</v>
      </c>
      <c r="C250" s="126">
        <f>ROUND(VLOOKUP(A250,'[2]Contribution Allocation_Report'!$A$9:$D$310,4,FALSE)*'PY_OPEB Amounts'!$C$323,0)</f>
        <v>616612</v>
      </c>
      <c r="D250" s="126">
        <f>ROUND(VLOOKUP(A250,'[2]Contribution Allocation_Report'!$A$9:$D$310,4,FALSE)*'PY_OPEB Amounts'!$D$323,0)</f>
        <v>9016</v>
      </c>
      <c r="E250" s="126">
        <f>ROUND(VLOOKUP(A250,'[2]Contribution Allocation_Report'!$A$9:$D$310,4,FALSE)*'PY_OPEB Amounts'!$E$323,0)</f>
        <v>123451</v>
      </c>
      <c r="F250" s="126">
        <f>INDEX('[2]Change in Proportion Layers'!$Z$8:$Z$321,MATCH('PY_OPEB Amounts'!A250,'[2]Change in Proportion Layers'!$A$8:$A$321,0))</f>
        <v>71392</v>
      </c>
      <c r="G250" s="126">
        <f t="shared" si="9"/>
        <v>203859</v>
      </c>
      <c r="H250" s="126"/>
      <c r="I250" s="126">
        <f>ROUND(VLOOKUP(A250,'[2]Contribution Allocation_Report'!$A$9:$D$310,4,FALSE)*'PY_OPEB Amounts'!$I$323,0)</f>
        <v>98337</v>
      </c>
      <c r="J250" s="126">
        <f>ROUND(VLOOKUP(A250,'[2]Contribution Allocation_Report'!$A$9:$D$310,4,FALSE)*'PY_OPEB Amounts'!$J$323,0)</f>
        <v>17675</v>
      </c>
      <c r="K250" s="126">
        <f>ROUND(VLOOKUP(A250,'[2]Contribution Allocation_Report'!$A$9:$D$310,4,FALSE)*'PY_OPEB Amounts'!$K$323,0)</f>
        <v>222927</v>
      </c>
      <c r="L250" s="128">
        <f>INDEX('[2]Change in Proportion Layers'!$AA$8:$AA$321,MATCH('PY_OPEB Amounts'!A250,'[2]Change in Proportion Layers'!$A$8:$A$321,0))</f>
        <v>48236</v>
      </c>
      <c r="M250" s="126">
        <f t="shared" si="10"/>
        <v>387175</v>
      </c>
      <c r="N250" s="127"/>
      <c r="O250" s="127">
        <f>ROUND(VLOOKUP(A250,'[2]Contribution Allocation_Report'!$A$9:$D$310,4,FALSE)*'PY_OPEB Amounts'!$O$323,0)</f>
        <v>-66404</v>
      </c>
      <c r="P250" s="127">
        <f>INDEX('[2]Change in Proportion Layers'!$X$8:$X$321,MATCH('PY_OPEB Amounts'!A250,'[2]Change in Proportion Layers'!$A$8:$A$321,0))</f>
        <v>-5202</v>
      </c>
      <c r="Q250" s="127">
        <f t="shared" si="11"/>
        <v>-71606</v>
      </c>
    </row>
    <row r="251" spans="1:17" ht="12" customHeight="1">
      <c r="A251" s="166">
        <v>2420</v>
      </c>
      <c r="B251" s="167" t="s">
        <v>237</v>
      </c>
      <c r="C251" s="122">
        <f>ROUND(VLOOKUP(A251,'[2]Contribution Allocation_Report'!$A$9:$D$310,4,FALSE)*'PY_OPEB Amounts'!$C$323,0)</f>
        <v>851872</v>
      </c>
      <c r="D251" s="122">
        <f>ROUND(VLOOKUP(A251,'[2]Contribution Allocation_Report'!$A$9:$D$310,4,FALSE)*'PY_OPEB Amounts'!$D$323,0)</f>
        <v>12455</v>
      </c>
      <c r="E251" s="122">
        <f>ROUND(VLOOKUP(A251,'[2]Contribution Allocation_Report'!$A$9:$D$310,4,FALSE)*'PY_OPEB Amounts'!$E$323,0)</f>
        <v>170553</v>
      </c>
      <c r="F251" s="122">
        <f>INDEX('[2]Change in Proportion Layers'!$Z$8:$Z$321,MATCH('PY_OPEB Amounts'!A251,'[2]Change in Proportion Layers'!$A$8:$A$321,0))</f>
        <v>123657</v>
      </c>
      <c r="G251" s="122">
        <f t="shared" si="9"/>
        <v>306665</v>
      </c>
      <c r="H251" s="122"/>
      <c r="I251" s="122">
        <f>ROUND(VLOOKUP(A251,'[2]Contribution Allocation_Report'!$A$9:$D$310,4,FALSE)*'PY_OPEB Amounts'!$I$323,0)</f>
        <v>135856</v>
      </c>
      <c r="J251" s="122">
        <f>ROUND(VLOOKUP(A251,'[2]Contribution Allocation_Report'!$A$9:$D$310,4,FALSE)*'PY_OPEB Amounts'!$J$323,0)</f>
        <v>24418</v>
      </c>
      <c r="K251" s="122">
        <f>ROUND(VLOOKUP(A251,'[2]Contribution Allocation_Report'!$A$9:$D$310,4,FALSE)*'PY_OPEB Amounts'!$K$323,0)</f>
        <v>307982</v>
      </c>
      <c r="L251" s="122">
        <f>INDEX('[2]Change in Proportion Layers'!$AA$8:$AA$321,MATCH('PY_OPEB Amounts'!A251,'[2]Change in Proportion Layers'!$A$8:$A$321,0))</f>
        <v>141355</v>
      </c>
      <c r="M251" s="122">
        <f t="shared" si="10"/>
        <v>609611</v>
      </c>
      <c r="N251" s="123"/>
      <c r="O251" s="123">
        <f>ROUND(VLOOKUP(A251,'[2]Contribution Allocation_Report'!$A$9:$D$310,4,FALSE)*'PY_OPEB Amounts'!$O$323,0)</f>
        <v>-91739</v>
      </c>
      <c r="P251" s="123">
        <f>INDEX('[2]Change in Proportion Layers'!$X$8:$X$321,MATCH('PY_OPEB Amounts'!A251,'[2]Change in Proportion Layers'!$A$8:$A$321,0))</f>
        <v>19119</v>
      </c>
      <c r="Q251" s="123">
        <f t="shared" si="11"/>
        <v>-72620</v>
      </c>
    </row>
    <row r="252" spans="1:17" ht="12" customHeight="1">
      <c r="A252" s="164">
        <v>2740</v>
      </c>
      <c r="B252" s="168" t="s">
        <v>238</v>
      </c>
      <c r="C252" s="120">
        <f>ROUND(VLOOKUP(A252,'[2]Contribution Allocation_Report'!$A$9:$D$310,4,FALSE)*'PY_OPEB Amounts'!$C$323,0)</f>
        <v>141485</v>
      </c>
      <c r="D252" s="120">
        <f>ROUND(VLOOKUP(A252,'[2]Contribution Allocation_Report'!$A$9:$D$310,4,FALSE)*'PY_OPEB Amounts'!$D$323,0)</f>
        <v>2069</v>
      </c>
      <c r="E252" s="120">
        <f>ROUND(VLOOKUP(A252,'[2]Contribution Allocation_Report'!$A$9:$D$310,4,FALSE)*'PY_OPEB Amounts'!$E$323,0)</f>
        <v>28327</v>
      </c>
      <c r="F252" s="120">
        <f>INDEX('[2]Change in Proportion Layers'!$Z$8:$Z$321,MATCH('PY_OPEB Amounts'!A252,'[2]Change in Proportion Layers'!$A$8:$A$321,0))</f>
        <v>36291</v>
      </c>
      <c r="G252" s="120">
        <f t="shared" si="9"/>
        <v>66687</v>
      </c>
      <c r="H252" s="120"/>
      <c r="I252" s="120">
        <f>ROUND(VLOOKUP(A252,'[2]Contribution Allocation_Report'!$A$9:$D$310,4,FALSE)*'PY_OPEB Amounts'!$I$323,0)</f>
        <v>22564</v>
      </c>
      <c r="J252" s="120">
        <f>ROUND(VLOOKUP(A252,'[2]Contribution Allocation_Report'!$A$9:$D$310,4,FALSE)*'PY_OPEB Amounts'!$J$323,0)</f>
        <v>4056</v>
      </c>
      <c r="K252" s="120">
        <f>ROUND(VLOOKUP(A252,'[2]Contribution Allocation_Report'!$A$9:$D$310,4,FALSE)*'PY_OPEB Amounts'!$K$323,0)</f>
        <v>51152</v>
      </c>
      <c r="L252" s="120">
        <f>INDEX('[2]Change in Proportion Layers'!$AA$8:$AA$321,MATCH('PY_OPEB Amounts'!A252,'[2]Change in Proportion Layers'!$A$8:$A$321,0))</f>
        <v>30323</v>
      </c>
      <c r="M252" s="120">
        <f t="shared" si="10"/>
        <v>108095</v>
      </c>
      <c r="N252" s="121"/>
      <c r="O252" s="121">
        <f>ROUND(VLOOKUP(A252,'[2]Contribution Allocation_Report'!$A$9:$D$310,4,FALSE)*'PY_OPEB Amounts'!$O$323,0)</f>
        <v>-15237</v>
      </c>
      <c r="P252" s="121">
        <f>INDEX('[2]Change in Proportion Layers'!$X$8:$X$321,MATCH('PY_OPEB Amounts'!A252,'[2]Change in Proportion Layers'!$A$8:$A$321,0))</f>
        <v>-777</v>
      </c>
      <c r="Q252" s="121">
        <f t="shared" si="11"/>
        <v>-16014</v>
      </c>
    </row>
    <row r="253" spans="1:17" ht="12" customHeight="1">
      <c r="A253" s="166">
        <v>2346</v>
      </c>
      <c r="B253" s="167" t="s">
        <v>239</v>
      </c>
      <c r="C253" s="122">
        <f>ROUND(VLOOKUP(A253,'[2]Contribution Allocation_Report'!$A$9:$D$310,4,FALSE)*'PY_OPEB Amounts'!$C$323,0)</f>
        <v>607070</v>
      </c>
      <c r="D253" s="122">
        <f>ROUND(VLOOKUP(A253,'[2]Contribution Allocation_Report'!$A$9:$D$310,4,FALSE)*'PY_OPEB Amounts'!$D$323,0)</f>
        <v>8876</v>
      </c>
      <c r="E253" s="122">
        <f>ROUND(VLOOKUP(A253,'[2]Contribution Allocation_Report'!$A$9:$D$310,4,FALSE)*'PY_OPEB Amounts'!$E$323,0)</f>
        <v>121541</v>
      </c>
      <c r="F253" s="122">
        <f>INDEX('[2]Change in Proportion Layers'!$Z$8:$Z$321,MATCH('PY_OPEB Amounts'!A253,'[2]Change in Proportion Layers'!$A$8:$A$321,0))</f>
        <v>173590</v>
      </c>
      <c r="G253" s="122">
        <f t="shared" si="9"/>
        <v>304007</v>
      </c>
      <c r="H253" s="122"/>
      <c r="I253" s="122">
        <f>ROUND(VLOOKUP(A253,'[2]Contribution Allocation_Report'!$A$9:$D$310,4,FALSE)*'PY_OPEB Amounts'!$I$323,0)</f>
        <v>96815</v>
      </c>
      <c r="J253" s="122">
        <f>ROUND(VLOOKUP(A253,'[2]Contribution Allocation_Report'!$A$9:$D$310,4,FALSE)*'PY_OPEB Amounts'!$J$323,0)</f>
        <v>17401</v>
      </c>
      <c r="K253" s="122">
        <f>ROUND(VLOOKUP(A253,'[2]Contribution Allocation_Report'!$A$9:$D$310,4,FALSE)*'PY_OPEB Amounts'!$K$323,0)</f>
        <v>219477</v>
      </c>
      <c r="L253" s="122">
        <f>INDEX('[2]Change in Proportion Layers'!$AA$8:$AA$321,MATCH('PY_OPEB Amounts'!A253,'[2]Change in Proportion Layers'!$A$8:$A$321,0))</f>
        <v>14519</v>
      </c>
      <c r="M253" s="122">
        <f t="shared" si="10"/>
        <v>348212</v>
      </c>
      <c r="N253" s="123"/>
      <c r="O253" s="123">
        <f>ROUND(VLOOKUP(A253,'[2]Contribution Allocation_Report'!$A$9:$D$310,4,FALSE)*'PY_OPEB Amounts'!$O$323,0)</f>
        <v>-65376</v>
      </c>
      <c r="P253" s="123">
        <f>INDEX('[2]Change in Proportion Layers'!$X$8:$X$321,MATCH('PY_OPEB Amounts'!A253,'[2]Change in Proportion Layers'!$A$8:$A$321,0))</f>
        <v>83445</v>
      </c>
      <c r="Q253" s="123">
        <f t="shared" si="11"/>
        <v>18069</v>
      </c>
    </row>
    <row r="254" spans="1:17" ht="12" customHeight="1">
      <c r="A254" s="164">
        <v>21150</v>
      </c>
      <c r="B254" s="168" t="s">
        <v>240</v>
      </c>
      <c r="C254" s="120">
        <f>ROUND(VLOOKUP(A254,'[2]Contribution Allocation_Report'!$A$9:$D$310,4,FALSE)*'PY_OPEB Amounts'!$C$323,0)</f>
        <v>1512245</v>
      </c>
      <c r="D254" s="120">
        <f>ROUND(VLOOKUP(A254,'[2]Contribution Allocation_Report'!$A$9:$D$310,4,FALSE)*'PY_OPEB Amounts'!$D$323,0)</f>
        <v>22111</v>
      </c>
      <c r="E254" s="120">
        <f>ROUND(VLOOKUP(A254,'[2]Contribution Allocation_Report'!$A$9:$D$310,4,FALSE)*'PY_OPEB Amounts'!$E$323,0)</f>
        <v>302765</v>
      </c>
      <c r="F254" s="120">
        <f>INDEX('[2]Change in Proportion Layers'!$Z$8:$Z$321,MATCH('PY_OPEB Amounts'!A254,'[2]Change in Proportion Layers'!$A$8:$A$321,0))</f>
        <v>379698</v>
      </c>
      <c r="G254" s="120">
        <f t="shared" si="9"/>
        <v>704574</v>
      </c>
      <c r="H254" s="120"/>
      <c r="I254" s="120">
        <f>ROUND(VLOOKUP(A254,'[2]Contribution Allocation_Report'!$A$9:$D$310,4,FALSE)*'PY_OPEB Amounts'!$I$323,0)</f>
        <v>241172</v>
      </c>
      <c r="J254" s="120">
        <f>ROUND(VLOOKUP(A254,'[2]Contribution Allocation_Report'!$A$9:$D$310,4,FALSE)*'PY_OPEB Amounts'!$J$323,0)</f>
        <v>43347</v>
      </c>
      <c r="K254" s="120">
        <f>ROUND(VLOOKUP(A254,'[2]Contribution Allocation_Report'!$A$9:$D$310,4,FALSE)*'PY_OPEB Amounts'!$K$323,0)</f>
        <v>546730</v>
      </c>
      <c r="L254" s="120">
        <f>INDEX('[2]Change in Proportion Layers'!$AA$8:$AA$321,MATCH('PY_OPEB Amounts'!A254,'[2]Change in Proportion Layers'!$A$8:$A$321,0))</f>
        <v>64251</v>
      </c>
      <c r="M254" s="120">
        <f t="shared" si="10"/>
        <v>895500</v>
      </c>
      <c r="N254" s="121"/>
      <c r="O254" s="121">
        <f>ROUND(VLOOKUP(A254,'[2]Contribution Allocation_Report'!$A$9:$D$310,4,FALSE)*'PY_OPEB Amounts'!$O$323,0)</f>
        <v>-162856</v>
      </c>
      <c r="P254" s="121">
        <f>INDEX('[2]Change in Proportion Layers'!$X$8:$X$321,MATCH('PY_OPEB Amounts'!A254,'[2]Change in Proportion Layers'!$A$8:$A$321,0))</f>
        <v>127853</v>
      </c>
      <c r="Q254" s="121">
        <f t="shared" si="11"/>
        <v>-35003</v>
      </c>
    </row>
    <row r="255" spans="1:17" ht="12" customHeight="1">
      <c r="A255" s="166">
        <v>32098</v>
      </c>
      <c r="B255" s="167" t="s">
        <v>241</v>
      </c>
      <c r="C255" s="122">
        <f>ROUND(VLOOKUP(A255,'[2]Contribution Allocation_Report'!$A$9:$D$310,4,FALSE)*'PY_OPEB Amounts'!$C$323,0)</f>
        <v>747238</v>
      </c>
      <c r="D255" s="122">
        <f>ROUND(VLOOKUP(A255,'[2]Contribution Allocation_Report'!$A$9:$D$310,4,FALSE)*'PY_OPEB Amounts'!$D$323,0)</f>
        <v>10926</v>
      </c>
      <c r="E255" s="122">
        <f>ROUND(VLOOKUP(A255,'[2]Contribution Allocation_Report'!$A$9:$D$310,4,FALSE)*'PY_OPEB Amounts'!$E$323,0)</f>
        <v>149604</v>
      </c>
      <c r="F255" s="122">
        <f>INDEX('[2]Change in Proportion Layers'!$Z$8:$Z$321,MATCH('PY_OPEB Amounts'!A255,'[2]Change in Proportion Layers'!$A$8:$A$321,0))</f>
        <v>61370</v>
      </c>
      <c r="G255" s="122">
        <f t="shared" si="9"/>
        <v>221900</v>
      </c>
      <c r="H255" s="122"/>
      <c r="I255" s="122">
        <f>ROUND(VLOOKUP(A255,'[2]Contribution Allocation_Report'!$A$9:$D$310,4,FALSE)*'PY_OPEB Amounts'!$I$323,0)</f>
        <v>119169</v>
      </c>
      <c r="J255" s="122">
        <f>ROUND(VLOOKUP(A255,'[2]Contribution Allocation_Report'!$A$9:$D$310,4,FALSE)*'PY_OPEB Amounts'!$J$323,0)</f>
        <v>21419</v>
      </c>
      <c r="K255" s="122">
        <f>ROUND(VLOOKUP(A255,'[2]Contribution Allocation_Report'!$A$9:$D$310,4,FALSE)*'PY_OPEB Amounts'!$K$323,0)</f>
        <v>270153</v>
      </c>
      <c r="L255" s="122">
        <f>INDEX('[2]Change in Proportion Layers'!$AA$8:$AA$321,MATCH('PY_OPEB Amounts'!A255,'[2]Change in Proportion Layers'!$A$8:$A$321,0))</f>
        <v>134635</v>
      </c>
      <c r="M255" s="122">
        <f t="shared" si="10"/>
        <v>545376</v>
      </c>
      <c r="N255" s="123"/>
      <c r="O255" s="123">
        <f>ROUND(VLOOKUP(A255,'[2]Contribution Allocation_Report'!$A$9:$D$310,4,FALSE)*'PY_OPEB Amounts'!$O$323,0)</f>
        <v>-80471</v>
      </c>
      <c r="P255" s="123">
        <f>INDEX('[2]Change in Proportion Layers'!$X$8:$X$321,MATCH('PY_OPEB Amounts'!A255,'[2]Change in Proportion Layers'!$A$8:$A$321,0))</f>
        <v>-2487</v>
      </c>
      <c r="Q255" s="123">
        <f t="shared" si="11"/>
        <v>-82958</v>
      </c>
    </row>
    <row r="256" spans="1:17" ht="12" customHeight="1">
      <c r="A256" s="164">
        <v>4520</v>
      </c>
      <c r="B256" s="168" t="s">
        <v>242</v>
      </c>
      <c r="C256" s="120">
        <f>ROUND(VLOOKUP(A256,'[2]Contribution Allocation_Report'!$A$9:$D$310,4,FALSE)*'PY_OPEB Amounts'!$C$323,0)</f>
        <v>100685</v>
      </c>
      <c r="D256" s="120">
        <f>ROUND(VLOOKUP(A256,'[2]Contribution Allocation_Report'!$A$9:$D$310,4,FALSE)*'PY_OPEB Amounts'!$D$323,0)</f>
        <v>1472</v>
      </c>
      <c r="E256" s="120">
        <f>ROUND(VLOOKUP(A256,'[2]Contribution Allocation_Report'!$A$9:$D$310,4,FALSE)*'PY_OPEB Amounts'!$E$323,0)</f>
        <v>20158</v>
      </c>
      <c r="F256" s="130">
        <f>INDEX('[2]Change in Proportion Layers'!$Z$8:$Z$321,MATCH('PY_OPEB Amounts'!A256,'[2]Change in Proportion Layers'!$A$8:$A$321,0))</f>
        <v>11880</v>
      </c>
      <c r="G256" s="120">
        <f t="shared" si="9"/>
        <v>33510</v>
      </c>
      <c r="H256" s="120"/>
      <c r="I256" s="120">
        <f>ROUND(VLOOKUP(A256,'[2]Contribution Allocation_Report'!$A$9:$D$310,4,FALSE)*'PY_OPEB Amounts'!$I$323,0)</f>
        <v>16057</v>
      </c>
      <c r="J256" s="120">
        <f>ROUND(VLOOKUP(A256,'[2]Contribution Allocation_Report'!$A$9:$D$310,4,FALSE)*'PY_OPEB Amounts'!$J$323,0)</f>
        <v>2886</v>
      </c>
      <c r="K256" s="120">
        <f>ROUND(VLOOKUP(A256,'[2]Contribution Allocation_Report'!$A$9:$D$310,4,FALSE)*'PY_OPEB Amounts'!$K$323,0)</f>
        <v>36401</v>
      </c>
      <c r="L256" s="120">
        <f>INDEX('[2]Change in Proportion Layers'!$AA$8:$AA$321,MATCH('PY_OPEB Amounts'!A256,'[2]Change in Proportion Layers'!$A$8:$A$321,0))</f>
        <v>1709</v>
      </c>
      <c r="M256" s="120">
        <f t="shared" si="10"/>
        <v>57053</v>
      </c>
      <c r="N256" s="121"/>
      <c r="O256" s="121">
        <f>ROUND(VLOOKUP(A256,'[2]Contribution Allocation_Report'!$A$9:$D$310,4,FALSE)*'PY_OPEB Amounts'!$O$323,0)</f>
        <v>-10843</v>
      </c>
      <c r="P256" s="121">
        <f>INDEX('[2]Change in Proportion Layers'!$X$8:$X$321,MATCH('PY_OPEB Amounts'!A256,'[2]Change in Proportion Layers'!$A$8:$A$321,0))</f>
        <v>2630</v>
      </c>
      <c r="Q256" s="121">
        <f t="shared" si="11"/>
        <v>-8213</v>
      </c>
    </row>
    <row r="257" spans="1:17" ht="12" customHeight="1">
      <c r="A257" s="166">
        <v>9030</v>
      </c>
      <c r="B257" s="167" t="s">
        <v>243</v>
      </c>
      <c r="C257" s="122">
        <f>ROUND(VLOOKUP(A257,'[2]Contribution Allocation_Report'!$A$9:$D$310,4,FALSE)*'PY_OPEB Amounts'!$C$323,0)</f>
        <v>965389</v>
      </c>
      <c r="D257" s="122">
        <f>ROUND(VLOOKUP(A257,'[2]Contribution Allocation_Report'!$A$9:$D$310,4,FALSE)*'PY_OPEB Amounts'!$D$323,0)</f>
        <v>14115</v>
      </c>
      <c r="E257" s="122">
        <f>ROUND(VLOOKUP(A257,'[2]Contribution Allocation_Report'!$A$9:$D$310,4,FALSE)*'PY_OPEB Amounts'!$E$323,0)</f>
        <v>193280</v>
      </c>
      <c r="F257" s="122">
        <f>INDEX('[2]Change in Proportion Layers'!$Z$8:$Z$321,MATCH('PY_OPEB Amounts'!A257,'[2]Change in Proportion Layers'!$A$8:$A$321,0))</f>
        <v>16022</v>
      </c>
      <c r="G257" s="122">
        <f t="shared" si="9"/>
        <v>223417</v>
      </c>
      <c r="H257" s="122"/>
      <c r="I257" s="122">
        <f>ROUND(VLOOKUP(A257,'[2]Contribution Allocation_Report'!$A$9:$D$310,4,FALSE)*'PY_OPEB Amounts'!$I$323,0)</f>
        <v>153959</v>
      </c>
      <c r="J257" s="122">
        <f>ROUND(VLOOKUP(A257,'[2]Contribution Allocation_Report'!$A$9:$D$310,4,FALSE)*'PY_OPEB Amounts'!$J$323,0)</f>
        <v>27672</v>
      </c>
      <c r="K257" s="122">
        <f>ROUND(VLOOKUP(A257,'[2]Contribution Allocation_Report'!$A$9:$D$310,4,FALSE)*'PY_OPEB Amounts'!$K$323,0)</f>
        <v>349022</v>
      </c>
      <c r="L257" s="131">
        <f>INDEX('[2]Change in Proportion Layers'!$AA$8:$AA$321,MATCH('PY_OPEB Amounts'!A257,'[2]Change in Proportion Layers'!$A$8:$A$321,0))</f>
        <v>56093</v>
      </c>
      <c r="M257" s="122">
        <f t="shared" si="10"/>
        <v>586746</v>
      </c>
      <c r="N257" s="123"/>
      <c r="O257" s="123">
        <f>ROUND(VLOOKUP(A257,'[2]Contribution Allocation_Report'!$A$9:$D$310,4,FALSE)*'PY_OPEB Amounts'!$O$323,0)</f>
        <v>-103964</v>
      </c>
      <c r="P257" s="123">
        <f>INDEX('[2]Change in Proportion Layers'!$X$8:$X$321,MATCH('PY_OPEB Amounts'!A257,'[2]Change in Proportion Layers'!$A$8:$A$321,0))</f>
        <v>-13538</v>
      </c>
      <c r="Q257" s="123">
        <f t="shared" si="11"/>
        <v>-117502</v>
      </c>
    </row>
    <row r="258" spans="1:17" ht="12" customHeight="1">
      <c r="A258" s="164">
        <v>20265</v>
      </c>
      <c r="B258" s="168" t="s">
        <v>244</v>
      </c>
      <c r="C258" s="120">
        <f>ROUND(VLOOKUP(A258,'[2]Contribution Allocation_Report'!$A$9:$D$310,4,FALSE)*'PY_OPEB Amounts'!$C$323,0)</f>
        <v>908137</v>
      </c>
      <c r="D258" s="120">
        <f>ROUND(VLOOKUP(A258,'[2]Contribution Allocation_Report'!$A$9:$D$310,4,FALSE)*'PY_OPEB Amounts'!$D$323,0)</f>
        <v>13278</v>
      </c>
      <c r="E258" s="120">
        <f>ROUND(VLOOKUP(A258,'[2]Contribution Allocation_Report'!$A$9:$D$310,4,FALSE)*'PY_OPEB Amounts'!$E$323,0)</f>
        <v>181817</v>
      </c>
      <c r="F258" s="130">
        <f>INDEX('[2]Change in Proportion Layers'!$Z$8:$Z$321,MATCH('PY_OPEB Amounts'!A258,'[2]Change in Proportion Layers'!$A$8:$A$321,0))</f>
        <v>80744</v>
      </c>
      <c r="G258" s="120">
        <f t="shared" si="9"/>
        <v>275839</v>
      </c>
      <c r="H258" s="120"/>
      <c r="I258" s="120">
        <f>ROUND(VLOOKUP(A258,'[2]Contribution Allocation_Report'!$A$9:$D$310,4,FALSE)*'PY_OPEB Amounts'!$I$323,0)</f>
        <v>144829</v>
      </c>
      <c r="J258" s="120">
        <f>ROUND(VLOOKUP(A258,'[2]Contribution Allocation_Report'!$A$9:$D$310,4,FALSE)*'PY_OPEB Amounts'!$J$323,0)</f>
        <v>26031</v>
      </c>
      <c r="K258" s="120">
        <f>ROUND(VLOOKUP(A258,'[2]Contribution Allocation_Report'!$A$9:$D$310,4,FALSE)*'PY_OPEB Amounts'!$K$323,0)</f>
        <v>328324</v>
      </c>
      <c r="L258" s="120">
        <f>INDEX('[2]Change in Proportion Layers'!$AA$8:$AA$321,MATCH('PY_OPEB Amounts'!A258,'[2]Change in Proportion Layers'!$A$8:$A$321,0))</f>
        <v>137082</v>
      </c>
      <c r="M258" s="120">
        <f t="shared" si="10"/>
        <v>636266</v>
      </c>
      <c r="N258" s="121"/>
      <c r="O258" s="121">
        <f>ROUND(VLOOKUP(A258,'[2]Contribution Allocation_Report'!$A$9:$D$310,4,FALSE)*'PY_OPEB Amounts'!$O$323,0)</f>
        <v>-97799</v>
      </c>
      <c r="P258" s="121">
        <f>INDEX('[2]Change in Proportion Layers'!$X$8:$X$321,MATCH('PY_OPEB Amounts'!A258,'[2]Change in Proportion Layers'!$A$8:$A$321,0))</f>
        <v>-4512</v>
      </c>
      <c r="Q258" s="121">
        <f t="shared" si="11"/>
        <v>-102311</v>
      </c>
    </row>
    <row r="259" spans="1:17" ht="12" customHeight="1">
      <c r="A259" s="166">
        <v>20307</v>
      </c>
      <c r="B259" s="167" t="s">
        <v>245</v>
      </c>
      <c r="C259" s="122">
        <f>ROUND(VLOOKUP(A259,'[2]Contribution Allocation_Report'!$A$9:$D$310,4,FALSE)*'PY_OPEB Amounts'!$C$323,0)</f>
        <v>888394</v>
      </c>
      <c r="D259" s="122">
        <f>ROUND(VLOOKUP(A259,'[2]Contribution Allocation_Report'!$A$9:$D$310,4,FALSE)*'PY_OPEB Amounts'!$D$323,0)</f>
        <v>12989</v>
      </c>
      <c r="E259" s="122">
        <f>ROUND(VLOOKUP(A259,'[2]Contribution Allocation_Report'!$A$9:$D$310,4,FALSE)*'PY_OPEB Amounts'!$E$323,0)</f>
        <v>177865</v>
      </c>
      <c r="F259" s="122">
        <f>INDEX('[2]Change in Proportion Layers'!$Z$8:$Z$321,MATCH('PY_OPEB Amounts'!A259,'[2]Change in Proportion Layers'!$A$8:$A$321,0))</f>
        <v>289878</v>
      </c>
      <c r="G259" s="122">
        <f t="shared" si="9"/>
        <v>480732</v>
      </c>
      <c r="H259" s="122"/>
      <c r="I259" s="122">
        <f>ROUND(VLOOKUP(A259,'[2]Contribution Allocation_Report'!$A$9:$D$310,4,FALSE)*'PY_OPEB Amounts'!$I$323,0)</f>
        <v>141680</v>
      </c>
      <c r="J259" s="122">
        <f>ROUND(VLOOKUP(A259,'[2]Contribution Allocation_Report'!$A$9:$D$310,4,FALSE)*'PY_OPEB Amounts'!$J$323,0)</f>
        <v>25465</v>
      </c>
      <c r="K259" s="122">
        <f>ROUND(VLOOKUP(A259,'[2]Contribution Allocation_Report'!$A$9:$D$310,4,FALSE)*'PY_OPEB Amounts'!$K$323,0)</f>
        <v>321186</v>
      </c>
      <c r="L259" s="122">
        <f>INDEX('[2]Change in Proportion Layers'!$AA$8:$AA$321,MATCH('PY_OPEB Amounts'!A259,'[2]Change in Proportion Layers'!$A$8:$A$321,0))</f>
        <v>104245</v>
      </c>
      <c r="M259" s="122">
        <f t="shared" si="10"/>
        <v>592576</v>
      </c>
      <c r="N259" s="123"/>
      <c r="O259" s="123">
        <f>ROUND(VLOOKUP(A259,'[2]Contribution Allocation_Report'!$A$9:$D$310,4,FALSE)*'PY_OPEB Amounts'!$O$323,0)</f>
        <v>-95673</v>
      </c>
      <c r="P259" s="123">
        <f>INDEX('[2]Change in Proportion Layers'!$X$8:$X$321,MATCH('PY_OPEB Amounts'!A259,'[2]Change in Proportion Layers'!$A$8:$A$321,0))</f>
        <v>66316</v>
      </c>
      <c r="Q259" s="123">
        <f t="shared" si="11"/>
        <v>-29357</v>
      </c>
    </row>
    <row r="260" spans="1:17" ht="12" customHeight="1">
      <c r="A260" s="164">
        <v>3320</v>
      </c>
      <c r="B260" s="168" t="s">
        <v>246</v>
      </c>
      <c r="C260" s="120">
        <f>ROUND(VLOOKUP(A260,'[2]Contribution Allocation_Report'!$A$9:$D$310,4,FALSE)*'PY_OPEB Amounts'!$C$323,0)</f>
        <v>6592545</v>
      </c>
      <c r="D260" s="120">
        <f>ROUND(VLOOKUP(A260,'[2]Contribution Allocation_Report'!$A$9:$D$310,4,FALSE)*'PY_OPEB Amounts'!$D$323,0)</f>
        <v>96392</v>
      </c>
      <c r="E260" s="120">
        <f>ROUND(VLOOKUP(A260,'[2]Contribution Allocation_Report'!$A$9:$D$310,4,FALSE)*'PY_OPEB Amounts'!$E$323,0)</f>
        <v>1319889</v>
      </c>
      <c r="F260" s="120">
        <f>INDEX('[2]Change in Proportion Layers'!$Z$8:$Z$321,MATCH('PY_OPEB Amounts'!A260,'[2]Change in Proportion Layers'!$A$8:$A$321,0))</f>
        <v>473206</v>
      </c>
      <c r="G260" s="120">
        <f t="shared" si="9"/>
        <v>1889487</v>
      </c>
      <c r="H260" s="120"/>
      <c r="I260" s="120">
        <f>ROUND(VLOOKUP(A260,'[2]Contribution Allocation_Report'!$A$9:$D$310,4,FALSE)*'PY_OPEB Amounts'!$I$323,0)</f>
        <v>1051374</v>
      </c>
      <c r="J260" s="120">
        <f>ROUND(VLOOKUP(A260,'[2]Contribution Allocation_Report'!$A$9:$D$310,4,FALSE)*'PY_OPEB Amounts'!$J$323,0)</f>
        <v>188970</v>
      </c>
      <c r="K260" s="120">
        <f>ROUND(VLOOKUP(A260,'[2]Contribution Allocation_Report'!$A$9:$D$310,4,FALSE)*'PY_OPEB Amounts'!$K$323,0)</f>
        <v>2383439</v>
      </c>
      <c r="L260" s="120">
        <f>INDEX('[2]Change in Proportion Layers'!$AA$8:$AA$321,MATCH('PY_OPEB Amounts'!A260,'[2]Change in Proportion Layers'!$A$8:$A$321,0))</f>
        <v>1008752</v>
      </c>
      <c r="M260" s="120">
        <f t="shared" si="10"/>
        <v>4632535</v>
      </c>
      <c r="N260" s="121"/>
      <c r="O260" s="121">
        <f>ROUND(VLOOKUP(A260,'[2]Contribution Allocation_Report'!$A$9:$D$310,4,FALSE)*'PY_OPEB Amounts'!$O$323,0)</f>
        <v>-709962</v>
      </c>
      <c r="P260" s="121">
        <f>INDEX('[2]Change in Proportion Layers'!$X$8:$X$321,MATCH('PY_OPEB Amounts'!A260,'[2]Change in Proportion Layers'!$A$8:$A$321,0))</f>
        <v>-161945</v>
      </c>
      <c r="Q260" s="121">
        <f t="shared" si="11"/>
        <v>-871907</v>
      </c>
    </row>
    <row r="261" spans="1:17" ht="12" customHeight="1">
      <c r="A261" s="166">
        <v>20415</v>
      </c>
      <c r="B261" s="167" t="s">
        <v>247</v>
      </c>
      <c r="C261" s="122">
        <f>ROUND(VLOOKUP(A261,'[2]Contribution Allocation_Report'!$A$9:$D$310,4,FALSE)*'PY_OPEB Amounts'!$C$323,0)</f>
        <v>614966</v>
      </c>
      <c r="D261" s="122">
        <f>ROUND(VLOOKUP(A261,'[2]Contribution Allocation_Report'!$A$9:$D$310,4,FALSE)*'PY_OPEB Amounts'!$D$323,0)</f>
        <v>8992</v>
      </c>
      <c r="E261" s="122">
        <f>ROUND(VLOOKUP(A261,'[2]Contribution Allocation_Report'!$A$9:$D$310,4,FALSE)*'PY_OPEB Amounts'!$E$323,0)</f>
        <v>123122</v>
      </c>
      <c r="F261" s="122">
        <f>INDEX('[2]Change in Proportion Layers'!$Z$8:$Z$321,MATCH('PY_OPEB Amounts'!A261,'[2]Change in Proportion Layers'!$A$8:$A$321,0))</f>
        <v>120554</v>
      </c>
      <c r="G261" s="122">
        <f t="shared" si="9"/>
        <v>252668</v>
      </c>
      <c r="H261" s="122"/>
      <c r="I261" s="122">
        <f>ROUND(VLOOKUP(A261,'[2]Contribution Allocation_Report'!$A$9:$D$310,4,FALSE)*'PY_OPEB Amounts'!$I$323,0)</f>
        <v>98074</v>
      </c>
      <c r="J261" s="122">
        <f>ROUND(VLOOKUP(A261,'[2]Contribution Allocation_Report'!$A$9:$D$310,4,FALSE)*'PY_OPEB Amounts'!$J$323,0)</f>
        <v>17627</v>
      </c>
      <c r="K261" s="122">
        <f>ROUND(VLOOKUP(A261,'[2]Contribution Allocation_Report'!$A$9:$D$310,4,FALSE)*'PY_OPEB Amounts'!$K$323,0)</f>
        <v>222332</v>
      </c>
      <c r="L261" s="122">
        <f>INDEX('[2]Change in Proportion Layers'!$AA$8:$AA$321,MATCH('PY_OPEB Amounts'!A261,'[2]Change in Proportion Layers'!$A$8:$A$321,0))</f>
        <v>97921</v>
      </c>
      <c r="M261" s="122">
        <f t="shared" si="10"/>
        <v>435954</v>
      </c>
      <c r="N261" s="123"/>
      <c r="O261" s="123">
        <f>ROUND(VLOOKUP(A261,'[2]Contribution Allocation_Report'!$A$9:$D$310,4,FALSE)*'PY_OPEB Amounts'!$O$323,0)</f>
        <v>-66227</v>
      </c>
      <c r="P261" s="123">
        <f>INDEX('[2]Change in Proportion Layers'!$X$8:$X$321,MATCH('PY_OPEB Amounts'!A261,'[2]Change in Proportion Layers'!$A$8:$A$321,0))</f>
        <v>10469</v>
      </c>
      <c r="Q261" s="123">
        <f t="shared" si="11"/>
        <v>-55758</v>
      </c>
    </row>
    <row r="262" spans="1:17" ht="12" customHeight="1">
      <c r="A262" s="164">
        <v>20435</v>
      </c>
      <c r="B262" s="168" t="s">
        <v>435</v>
      </c>
      <c r="C262" s="120">
        <f>ROUND(VLOOKUP(A262,'[2]Contribution Allocation_Report'!$A$9:$D$310,4,FALSE)*'PY_OPEB Amounts'!$C$323,0)</f>
        <v>751516</v>
      </c>
      <c r="D262" s="120">
        <f>ROUND(VLOOKUP(A262,'[2]Contribution Allocation_Report'!$A$9:$D$310,4,FALSE)*'PY_OPEB Amounts'!$D$323,0)</f>
        <v>10988</v>
      </c>
      <c r="E262" s="120">
        <f>ROUND(VLOOKUP(A262,'[2]Contribution Allocation_Report'!$A$9:$D$310,4,FALSE)*'PY_OPEB Amounts'!$E$323,0)</f>
        <v>150460</v>
      </c>
      <c r="F262" s="120">
        <f>INDEX('[2]Change in Proportion Layers'!$Z$8:$Z$321,MATCH('PY_OPEB Amounts'!A262,'[2]Change in Proportion Layers'!$A$8:$A$321,0))</f>
        <v>142660</v>
      </c>
      <c r="G262" s="120">
        <f t="shared" si="9"/>
        <v>304108</v>
      </c>
      <c r="H262" s="120"/>
      <c r="I262" s="120">
        <f>ROUND(VLOOKUP(A262,'[2]Contribution Allocation_Report'!$A$9:$D$310,4,FALSE)*'PY_OPEB Amounts'!$I$323,0)</f>
        <v>119851</v>
      </c>
      <c r="J262" s="120">
        <f>ROUND(VLOOKUP(A262,'[2]Contribution Allocation_Report'!$A$9:$D$310,4,FALSE)*'PY_OPEB Amounts'!$J$323,0)</f>
        <v>21542</v>
      </c>
      <c r="K262" s="120">
        <f>ROUND(VLOOKUP(A262,'[2]Contribution Allocation_Report'!$A$9:$D$310,4,FALSE)*'PY_OPEB Amounts'!$K$323,0)</f>
        <v>271700</v>
      </c>
      <c r="L262" s="130">
        <f>INDEX('[2]Change in Proportion Layers'!$AA$8:$AA$321,MATCH('PY_OPEB Amounts'!A262,'[2]Change in Proportion Layers'!$A$8:$A$321,0))</f>
        <v>111930</v>
      </c>
      <c r="M262" s="120">
        <f t="shared" si="10"/>
        <v>525023</v>
      </c>
      <c r="N262" s="121"/>
      <c r="O262" s="121">
        <f>ROUND(VLOOKUP(A262,'[2]Contribution Allocation_Report'!$A$9:$D$310,4,FALSE)*'PY_OPEB Amounts'!$O$323,0)</f>
        <v>-80932</v>
      </c>
      <c r="P262" s="121">
        <f>INDEX('[2]Change in Proportion Layers'!$X$8:$X$321,MATCH('PY_OPEB Amounts'!A262,'[2]Change in Proportion Layers'!$A$8:$A$321,0))</f>
        <v>13726</v>
      </c>
      <c r="Q262" s="121">
        <f t="shared" si="11"/>
        <v>-67206</v>
      </c>
    </row>
    <row r="263" spans="1:17" ht="12" customHeight="1">
      <c r="A263" s="166">
        <v>20062</v>
      </c>
      <c r="B263" s="167" t="s">
        <v>248</v>
      </c>
      <c r="C263" s="122">
        <f>ROUND(VLOOKUP(A263,'[2]Contribution Allocation_Report'!$A$9:$D$310,4,FALSE)*'PY_OPEB Amounts'!$C$323,0)</f>
        <v>10321169</v>
      </c>
      <c r="D263" s="122">
        <f>ROUND(VLOOKUP(A263,'[2]Contribution Allocation_Report'!$A$9:$D$310,4,FALSE)*'PY_OPEB Amounts'!$D$323,0)</f>
        <v>150909</v>
      </c>
      <c r="E263" s="122">
        <f>ROUND(VLOOKUP(A263,'[2]Contribution Allocation_Report'!$A$9:$D$310,4,FALSE)*'PY_OPEB Amounts'!$E$323,0)</f>
        <v>2066394</v>
      </c>
      <c r="F263" s="122">
        <f>INDEX('[2]Change in Proportion Layers'!$Z$8:$Z$321,MATCH('PY_OPEB Amounts'!A263,'[2]Change in Proportion Layers'!$A$8:$A$321,0))</f>
        <v>608335</v>
      </c>
      <c r="G263" s="122">
        <f t="shared" si="9"/>
        <v>2825638</v>
      </c>
      <c r="H263" s="122"/>
      <c r="I263" s="122">
        <f>ROUND(VLOOKUP(A263,'[2]Contribution Allocation_Report'!$A$9:$D$310,4,FALSE)*'PY_OPEB Amounts'!$I$323,0)</f>
        <v>1646012</v>
      </c>
      <c r="J263" s="122">
        <f>ROUND(VLOOKUP(A263,'[2]Contribution Allocation_Report'!$A$9:$D$310,4,FALSE)*'PY_OPEB Amounts'!$J$323,0)</f>
        <v>295848</v>
      </c>
      <c r="K263" s="122">
        <f>ROUND(VLOOKUP(A263,'[2]Contribution Allocation_Report'!$A$9:$D$310,4,FALSE)*'PY_OPEB Amounts'!$K$323,0)</f>
        <v>3731469</v>
      </c>
      <c r="L263" s="122">
        <f>INDEX('[2]Change in Proportion Layers'!$AA$8:$AA$321,MATCH('PY_OPEB Amounts'!A263,'[2]Change in Proportion Layers'!$A$8:$A$321,0))</f>
        <v>179157</v>
      </c>
      <c r="M263" s="122">
        <f t="shared" si="10"/>
        <v>5852486</v>
      </c>
      <c r="N263" s="123"/>
      <c r="O263" s="123">
        <f>ROUND(VLOOKUP(A263,'[2]Contribution Allocation_Report'!$A$9:$D$310,4,FALSE)*'PY_OPEB Amounts'!$O$323,0)</f>
        <v>-1111504</v>
      </c>
      <c r="P263" s="123">
        <f>INDEX('[2]Change in Proportion Layers'!$X$8:$X$321,MATCH('PY_OPEB Amounts'!A263,'[2]Change in Proportion Layers'!$A$8:$A$321,0))</f>
        <v>33833</v>
      </c>
      <c r="Q263" s="123">
        <f t="shared" si="11"/>
        <v>-1077671</v>
      </c>
    </row>
    <row r="264" spans="1:17" ht="12" customHeight="1">
      <c r="A264" s="164">
        <v>6020</v>
      </c>
      <c r="B264" s="168" t="s">
        <v>249</v>
      </c>
      <c r="C264" s="120">
        <f>ROUND(VLOOKUP(A264,'[2]Contribution Allocation_Report'!$A$9:$D$310,4,FALSE)*'PY_OPEB Amounts'!$C$323,0)</f>
        <v>1953810</v>
      </c>
      <c r="D264" s="120">
        <f>ROUND(VLOOKUP(A264,'[2]Contribution Allocation_Report'!$A$9:$D$310,4,FALSE)*'PY_OPEB Amounts'!$D$323,0)</f>
        <v>28567</v>
      </c>
      <c r="E264" s="120">
        <f>ROUND(VLOOKUP(A264,'[2]Contribution Allocation_Report'!$A$9:$D$310,4,FALSE)*'PY_OPEB Amounts'!$E$323,0)</f>
        <v>391171</v>
      </c>
      <c r="F264" s="120">
        <f>INDEX('[2]Change in Proportion Layers'!$Z$8:$Z$321,MATCH('PY_OPEB Amounts'!A264,'[2]Change in Proportion Layers'!$A$8:$A$321,0))</f>
        <v>123502</v>
      </c>
      <c r="G264" s="120">
        <f t="shared" si="9"/>
        <v>543240</v>
      </c>
      <c r="H264" s="120"/>
      <c r="I264" s="120">
        <f>ROUND(VLOOKUP(A264,'[2]Contribution Allocation_Report'!$A$9:$D$310,4,FALSE)*'PY_OPEB Amounts'!$I$323,0)</f>
        <v>311592</v>
      </c>
      <c r="J264" s="120">
        <f>ROUND(VLOOKUP(A264,'[2]Contribution Allocation_Report'!$A$9:$D$310,4,FALSE)*'PY_OPEB Amounts'!$J$323,0)</f>
        <v>56004</v>
      </c>
      <c r="K264" s="120">
        <f>ROUND(VLOOKUP(A264,'[2]Contribution Allocation_Report'!$A$9:$D$310,4,FALSE)*'PY_OPEB Amounts'!$K$323,0)</f>
        <v>706371</v>
      </c>
      <c r="L264" s="120">
        <f>INDEX('[2]Change in Proportion Layers'!$AA$8:$AA$321,MATCH('PY_OPEB Amounts'!A264,'[2]Change in Proportion Layers'!$A$8:$A$321,0))</f>
        <v>79594</v>
      </c>
      <c r="M264" s="120">
        <f t="shared" si="10"/>
        <v>1153561</v>
      </c>
      <c r="N264" s="121"/>
      <c r="O264" s="121">
        <f>ROUND(VLOOKUP(A264,'[2]Contribution Allocation_Report'!$A$9:$D$310,4,FALSE)*'PY_OPEB Amounts'!$O$323,0)</f>
        <v>-210409</v>
      </c>
      <c r="P264" s="121">
        <f>INDEX('[2]Change in Proportion Layers'!$X$8:$X$321,MATCH('PY_OPEB Amounts'!A264,'[2]Change in Proportion Layers'!$A$8:$A$321,0))</f>
        <v>-11266</v>
      </c>
      <c r="Q264" s="121">
        <f t="shared" si="11"/>
        <v>-221675</v>
      </c>
    </row>
    <row r="265" spans="1:17" ht="12" customHeight="1">
      <c r="A265" s="166">
        <v>2394</v>
      </c>
      <c r="B265" s="167" t="s">
        <v>250</v>
      </c>
      <c r="C265" s="122">
        <f>ROUND(VLOOKUP(A265,'[2]Contribution Allocation_Report'!$A$9:$D$310,4,FALSE)*'PY_OPEB Amounts'!$C$323,0)</f>
        <v>1023628</v>
      </c>
      <c r="D265" s="122">
        <f>ROUND(VLOOKUP(A265,'[2]Contribution Allocation_Report'!$A$9:$D$310,4,FALSE)*'PY_OPEB Amounts'!$D$323,0)</f>
        <v>14967</v>
      </c>
      <c r="E265" s="122">
        <f>ROUND(VLOOKUP(A265,'[2]Contribution Allocation_Report'!$A$9:$D$310,4,FALSE)*'PY_OPEB Amounts'!$E$323,0)</f>
        <v>204940</v>
      </c>
      <c r="F265" s="122">
        <f>INDEX('[2]Change in Proportion Layers'!$Z$8:$Z$321,MATCH('PY_OPEB Amounts'!A265,'[2]Change in Proportion Layers'!$A$8:$A$321,0))</f>
        <v>261662</v>
      </c>
      <c r="G265" s="122">
        <f t="shared" si="9"/>
        <v>481569</v>
      </c>
      <c r="H265" s="122"/>
      <c r="I265" s="122">
        <f>ROUND(VLOOKUP(A265,'[2]Contribution Allocation_Report'!$A$9:$D$310,4,FALSE)*'PY_OPEB Amounts'!$I$323,0)</f>
        <v>163247</v>
      </c>
      <c r="J265" s="122">
        <f>ROUND(VLOOKUP(A265,'[2]Contribution Allocation_Report'!$A$9:$D$310,4,FALSE)*'PY_OPEB Amounts'!$J$323,0)</f>
        <v>29341</v>
      </c>
      <c r="K265" s="122">
        <f>ROUND(VLOOKUP(A265,'[2]Contribution Allocation_Report'!$A$9:$D$310,4,FALSE)*'PY_OPEB Amounts'!$K$323,0)</f>
        <v>370078</v>
      </c>
      <c r="L265" s="122">
        <f>INDEX('[2]Change in Proportion Layers'!$AA$8:$AA$321,MATCH('PY_OPEB Amounts'!A265,'[2]Change in Proportion Layers'!$A$8:$A$321,0))</f>
        <v>0</v>
      </c>
      <c r="M265" s="122">
        <f t="shared" si="10"/>
        <v>562666</v>
      </c>
      <c r="N265" s="123"/>
      <c r="O265" s="123">
        <f>ROUND(VLOOKUP(A265,'[2]Contribution Allocation_Report'!$A$9:$D$310,4,FALSE)*'PY_OPEB Amounts'!$O$323,0)</f>
        <v>-110236</v>
      </c>
      <c r="P265" s="123">
        <f>INDEX('[2]Change in Proportion Layers'!$X$8:$X$321,MATCH('PY_OPEB Amounts'!A265,'[2]Change in Proportion Layers'!$A$8:$A$321,0))</f>
        <v>120359</v>
      </c>
      <c r="Q265" s="123">
        <f t="shared" si="11"/>
        <v>10123</v>
      </c>
    </row>
    <row r="266" spans="1:17" ht="12" customHeight="1">
      <c r="A266" s="164">
        <v>5015</v>
      </c>
      <c r="B266" s="168" t="s">
        <v>251</v>
      </c>
      <c r="C266" s="120">
        <f>ROUND(VLOOKUP(A266,'[2]Contribution Allocation_Report'!$A$9:$D$310,4,FALSE)*'PY_OPEB Amounts'!$C$323,0)</f>
        <v>2779688</v>
      </c>
      <c r="D266" s="120">
        <f>ROUND(VLOOKUP(A266,'[2]Contribution Allocation_Report'!$A$9:$D$310,4,FALSE)*'PY_OPEB Amounts'!$D$323,0)</f>
        <v>40643</v>
      </c>
      <c r="E266" s="120">
        <f>ROUND(VLOOKUP(A266,'[2]Contribution Allocation_Report'!$A$9:$D$310,4,FALSE)*'PY_OPEB Amounts'!$E$323,0)</f>
        <v>556519</v>
      </c>
      <c r="F266" s="120">
        <f>INDEX('[2]Change in Proportion Layers'!$Z$8:$Z$321,MATCH('PY_OPEB Amounts'!A266,'[2]Change in Proportion Layers'!$A$8:$A$321,0))</f>
        <v>190157</v>
      </c>
      <c r="G266" s="120">
        <f t="shared" si="9"/>
        <v>787319</v>
      </c>
      <c r="H266" s="120"/>
      <c r="I266" s="120">
        <f>ROUND(VLOOKUP(A266,'[2]Contribution Allocation_Report'!$A$9:$D$310,4,FALSE)*'PY_OPEB Amounts'!$I$323,0)</f>
        <v>443302</v>
      </c>
      <c r="J266" s="120">
        <f>ROUND(VLOOKUP(A266,'[2]Contribution Allocation_Report'!$A$9:$D$310,4,FALSE)*'PY_OPEB Amounts'!$J$323,0)</f>
        <v>79677</v>
      </c>
      <c r="K266" s="120">
        <f>ROUND(VLOOKUP(A266,'[2]Contribution Allocation_Report'!$A$9:$D$310,4,FALSE)*'PY_OPEB Amounts'!$K$323,0)</f>
        <v>1004956</v>
      </c>
      <c r="L266" s="130">
        <f>INDEX('[2]Change in Proportion Layers'!$AA$8:$AA$321,MATCH('PY_OPEB Amounts'!A266,'[2]Change in Proportion Layers'!$A$8:$A$321,0))</f>
        <v>69756</v>
      </c>
      <c r="M266" s="120">
        <f t="shared" si="10"/>
        <v>1597691</v>
      </c>
      <c r="N266" s="121"/>
      <c r="O266" s="121">
        <f>ROUND(VLOOKUP(A266,'[2]Contribution Allocation_Report'!$A$9:$D$310,4,FALSE)*'PY_OPEB Amounts'!$O$323,0)</f>
        <v>-299349</v>
      </c>
      <c r="P266" s="121">
        <f>INDEX('[2]Change in Proportion Layers'!$X$8:$X$321,MATCH('PY_OPEB Amounts'!A266,'[2]Change in Proportion Layers'!$A$8:$A$321,0))</f>
        <v>5558</v>
      </c>
      <c r="Q266" s="121">
        <f t="shared" si="11"/>
        <v>-293791</v>
      </c>
    </row>
    <row r="267" spans="1:17" ht="12" customHeight="1">
      <c r="A267" s="166">
        <v>29408</v>
      </c>
      <c r="B267" s="167" t="s">
        <v>252</v>
      </c>
      <c r="C267" s="122">
        <f>ROUND(VLOOKUP(A267,'[2]Contribution Allocation_Report'!$A$9:$D$310,4,FALSE)*'PY_OPEB Amounts'!$C$323,0)</f>
        <v>1850164</v>
      </c>
      <c r="D267" s="122">
        <f>ROUND(VLOOKUP(A267,'[2]Contribution Allocation_Report'!$A$9:$D$310,4,FALSE)*'PY_OPEB Amounts'!$D$323,0)</f>
        <v>27052</v>
      </c>
      <c r="E267" s="122">
        <f>ROUND(VLOOKUP(A267,'[2]Contribution Allocation_Report'!$A$9:$D$310,4,FALSE)*'PY_OPEB Amounts'!$E$323,0)</f>
        <v>370420</v>
      </c>
      <c r="F267" s="122">
        <f>INDEX('[2]Change in Proportion Layers'!$Z$8:$Z$321,MATCH('PY_OPEB Amounts'!A267,'[2]Change in Proportion Layers'!$A$8:$A$321,0))</f>
        <v>375806</v>
      </c>
      <c r="G267" s="122">
        <f t="shared" si="9"/>
        <v>773278</v>
      </c>
      <c r="H267" s="122"/>
      <c r="I267" s="122">
        <f>ROUND(VLOOKUP(A267,'[2]Contribution Allocation_Report'!$A$9:$D$310,4,FALSE)*'PY_OPEB Amounts'!$I$323,0)</f>
        <v>295063</v>
      </c>
      <c r="J267" s="122">
        <f>ROUND(VLOOKUP(A267,'[2]Contribution Allocation_Report'!$A$9:$D$310,4,FALSE)*'PY_OPEB Amounts'!$J$323,0)</f>
        <v>53033</v>
      </c>
      <c r="K267" s="122">
        <f>ROUND(VLOOKUP(A267,'[2]Contribution Allocation_Report'!$A$9:$D$310,4,FALSE)*'PY_OPEB Amounts'!$K$323,0)</f>
        <v>668900</v>
      </c>
      <c r="L267" s="122">
        <f>INDEX('[2]Change in Proportion Layers'!$AA$8:$AA$321,MATCH('PY_OPEB Amounts'!A267,'[2]Change in Proportion Layers'!$A$8:$A$321,0))</f>
        <v>0</v>
      </c>
      <c r="M267" s="122">
        <f t="shared" si="10"/>
        <v>1016996</v>
      </c>
      <c r="N267" s="123"/>
      <c r="O267" s="123">
        <f>ROUND(VLOOKUP(A267,'[2]Contribution Allocation_Report'!$A$9:$D$310,4,FALSE)*'PY_OPEB Amounts'!$O$323,0)</f>
        <v>-199247</v>
      </c>
      <c r="P267" s="123">
        <f>INDEX('[2]Change in Proportion Layers'!$X$8:$X$321,MATCH('PY_OPEB Amounts'!A267,'[2]Change in Proportion Layers'!$A$8:$A$321,0))</f>
        <v>98337</v>
      </c>
      <c r="Q267" s="123">
        <f t="shared" ref="Q267:Q321" si="12">+O267+P267</f>
        <v>-100910</v>
      </c>
    </row>
    <row r="268" spans="1:17" ht="12" customHeight="1">
      <c r="A268" s="164">
        <v>2413</v>
      </c>
      <c r="B268" s="168" t="s">
        <v>253</v>
      </c>
      <c r="C268" s="120">
        <f>ROUND(VLOOKUP(A268,'[2]Contribution Allocation_Report'!$A$9:$D$310,4,FALSE)*'PY_OPEB Amounts'!$C$323,0)</f>
        <v>476114</v>
      </c>
      <c r="D268" s="120">
        <f>ROUND(VLOOKUP(A268,'[2]Contribution Allocation_Report'!$A$9:$D$310,4,FALSE)*'PY_OPEB Amounts'!$D$323,0)</f>
        <v>6961</v>
      </c>
      <c r="E268" s="120">
        <f>ROUND(VLOOKUP(A268,'[2]Contribution Allocation_Report'!$A$9:$D$310,4,FALSE)*'PY_OPEB Amounts'!$E$323,0)</f>
        <v>95322</v>
      </c>
      <c r="F268" s="120">
        <f>INDEX('[2]Change in Proportion Layers'!$Z$8:$Z$321,MATCH('PY_OPEB Amounts'!A268,'[2]Change in Proportion Layers'!$A$8:$A$321,0))</f>
        <v>0</v>
      </c>
      <c r="G268" s="120">
        <f t="shared" ref="G268:G321" si="13">SUM(D268:F268)</f>
        <v>102283</v>
      </c>
      <c r="H268" s="120"/>
      <c r="I268" s="120">
        <f>ROUND(VLOOKUP(A268,'[2]Contribution Allocation_Report'!$A$9:$D$310,4,FALSE)*'PY_OPEB Amounts'!$I$323,0)</f>
        <v>75930</v>
      </c>
      <c r="J268" s="120">
        <f>ROUND(VLOOKUP(A268,'[2]Contribution Allocation_Report'!$A$9:$D$310,4,FALSE)*'PY_OPEB Amounts'!$J$323,0)</f>
        <v>13647</v>
      </c>
      <c r="K268" s="120">
        <f>ROUND(VLOOKUP(A268,'[2]Contribution Allocation_Report'!$A$9:$D$310,4,FALSE)*'PY_OPEB Amounts'!$K$323,0)</f>
        <v>172132</v>
      </c>
      <c r="L268" s="130">
        <f>INDEX('[2]Change in Proportion Layers'!$AA$8:$AA$321,MATCH('PY_OPEB Amounts'!A268,'[2]Change in Proportion Layers'!$A$8:$A$321,0))</f>
        <v>214809</v>
      </c>
      <c r="M268" s="120">
        <f t="shared" ref="M268:M321" si="14">SUM(I268:L268)</f>
        <v>476518</v>
      </c>
      <c r="N268" s="121"/>
      <c r="O268" s="121">
        <f>ROUND(VLOOKUP(A268,'[2]Contribution Allocation_Report'!$A$9:$D$310,4,FALSE)*'PY_OPEB Amounts'!$O$323,0)</f>
        <v>-51273</v>
      </c>
      <c r="P268" s="121">
        <f>INDEX('[2]Change in Proportion Layers'!$X$8:$X$321,MATCH('PY_OPEB Amounts'!A268,'[2]Change in Proportion Layers'!$A$8:$A$321,0))</f>
        <v>-73931</v>
      </c>
      <c r="Q268" s="121">
        <f t="shared" si="12"/>
        <v>-125204</v>
      </c>
    </row>
    <row r="269" spans="1:17" ht="12" customHeight="1">
      <c r="A269" s="166">
        <v>1398</v>
      </c>
      <c r="B269" s="167" t="s">
        <v>254</v>
      </c>
      <c r="C269" s="122">
        <f>ROUND(VLOOKUP(A269,'[2]Contribution Allocation_Report'!$A$9:$D$310,4,FALSE)*'PY_OPEB Amounts'!$C$323,0)</f>
        <v>857794</v>
      </c>
      <c r="D269" s="122">
        <f>ROUND(VLOOKUP(A269,'[2]Contribution Allocation_Report'!$A$9:$D$310,4,FALSE)*'PY_OPEB Amounts'!$D$323,0)</f>
        <v>12542</v>
      </c>
      <c r="E269" s="122">
        <f>ROUND(VLOOKUP(A269,'[2]Contribution Allocation_Report'!$A$9:$D$310,4,FALSE)*'PY_OPEB Amounts'!$E$323,0)</f>
        <v>171738</v>
      </c>
      <c r="F269" s="131">
        <f>INDEX('[2]Change in Proportion Layers'!$Z$8:$Z$321,MATCH('PY_OPEB Amounts'!A269,'[2]Change in Proportion Layers'!$A$8:$A$321,0))</f>
        <v>115892</v>
      </c>
      <c r="G269" s="122">
        <f t="shared" si="13"/>
        <v>300172</v>
      </c>
      <c r="H269" s="122"/>
      <c r="I269" s="122">
        <f>ROUND(VLOOKUP(A269,'[2]Contribution Allocation_Report'!$A$9:$D$310,4,FALSE)*'PY_OPEB Amounts'!$I$323,0)</f>
        <v>136800</v>
      </c>
      <c r="J269" s="122">
        <f>ROUND(VLOOKUP(A269,'[2]Contribution Allocation_Report'!$A$9:$D$310,4,FALSE)*'PY_OPEB Amounts'!$J$323,0)</f>
        <v>24588</v>
      </c>
      <c r="K269" s="122">
        <f>ROUND(VLOOKUP(A269,'[2]Contribution Allocation_Report'!$A$9:$D$310,4,FALSE)*'PY_OPEB Amounts'!$K$323,0)</f>
        <v>310123</v>
      </c>
      <c r="L269" s="122">
        <f>INDEX('[2]Change in Proportion Layers'!$AA$8:$AA$321,MATCH('PY_OPEB Amounts'!A269,'[2]Change in Proportion Layers'!$A$8:$A$321,0))</f>
        <v>32670</v>
      </c>
      <c r="M269" s="122">
        <f t="shared" si="14"/>
        <v>504181</v>
      </c>
      <c r="N269" s="123"/>
      <c r="O269" s="123">
        <f>ROUND(VLOOKUP(A269,'[2]Contribution Allocation_Report'!$A$9:$D$310,4,FALSE)*'PY_OPEB Amounts'!$O$323,0)</f>
        <v>-92377</v>
      </c>
      <c r="P269" s="123">
        <f>INDEX('[2]Change in Proportion Layers'!$X$8:$X$321,MATCH('PY_OPEB Amounts'!A269,'[2]Change in Proportion Layers'!$A$8:$A$321,0))</f>
        <v>31808</v>
      </c>
      <c r="Q269" s="123">
        <f t="shared" si="12"/>
        <v>-60569</v>
      </c>
    </row>
    <row r="270" spans="1:17" ht="12" customHeight="1">
      <c r="A270" s="164">
        <v>2366</v>
      </c>
      <c r="B270" s="168" t="s">
        <v>255</v>
      </c>
      <c r="C270" s="120">
        <f>ROUND(VLOOKUP(A270,'[2]Contribution Allocation_Report'!$A$9:$D$310,4,FALSE)*'PY_OPEB Amounts'!$C$323,0)</f>
        <v>902872</v>
      </c>
      <c r="D270" s="120">
        <f>ROUND(VLOOKUP(A270,'[2]Contribution Allocation_Report'!$A$9:$D$310,4,FALSE)*'PY_OPEB Amounts'!$D$323,0)</f>
        <v>13201</v>
      </c>
      <c r="E270" s="120">
        <f>ROUND(VLOOKUP(A270,'[2]Contribution Allocation_Report'!$A$9:$D$310,4,FALSE)*'PY_OPEB Amounts'!$E$323,0)</f>
        <v>180763</v>
      </c>
      <c r="F270" s="120">
        <f>INDEX('[2]Change in Proportion Layers'!$Z$8:$Z$321,MATCH('PY_OPEB Amounts'!A270,'[2]Change in Proportion Layers'!$A$8:$A$321,0))</f>
        <v>33073</v>
      </c>
      <c r="G270" s="120">
        <f t="shared" si="13"/>
        <v>227037</v>
      </c>
      <c r="H270" s="120"/>
      <c r="I270" s="120">
        <f>ROUND(VLOOKUP(A270,'[2]Contribution Allocation_Report'!$A$9:$D$310,4,FALSE)*'PY_OPEB Amounts'!$I$323,0)</f>
        <v>143989</v>
      </c>
      <c r="J270" s="120">
        <f>ROUND(VLOOKUP(A270,'[2]Contribution Allocation_Report'!$A$9:$D$310,4,FALSE)*'PY_OPEB Amounts'!$J$323,0)</f>
        <v>25880</v>
      </c>
      <c r="K270" s="120">
        <f>ROUND(VLOOKUP(A270,'[2]Contribution Allocation_Report'!$A$9:$D$310,4,FALSE)*'PY_OPEB Amounts'!$K$323,0)</f>
        <v>326420</v>
      </c>
      <c r="L270" s="130">
        <f>INDEX('[2]Change in Proportion Layers'!$AA$8:$AA$321,MATCH('PY_OPEB Amounts'!A270,'[2]Change in Proportion Layers'!$A$8:$A$321,0))</f>
        <v>107559</v>
      </c>
      <c r="M270" s="120">
        <f t="shared" si="14"/>
        <v>603848</v>
      </c>
      <c r="N270" s="121"/>
      <c r="O270" s="121">
        <f>ROUND(VLOOKUP(A270,'[2]Contribution Allocation_Report'!$A$9:$D$310,4,FALSE)*'PY_OPEB Amounts'!$O$323,0)</f>
        <v>-97232</v>
      </c>
      <c r="P270" s="121">
        <f>INDEX('[2]Change in Proportion Layers'!$X$8:$X$321,MATCH('PY_OPEB Amounts'!A270,'[2]Change in Proportion Layers'!$A$8:$A$321,0))</f>
        <v>-31836</v>
      </c>
      <c r="Q270" s="121">
        <f t="shared" si="12"/>
        <v>-129068</v>
      </c>
    </row>
    <row r="271" spans="1:17" ht="12" customHeight="1">
      <c r="A271" s="166">
        <v>7421</v>
      </c>
      <c r="B271" s="167" t="s">
        <v>256</v>
      </c>
      <c r="C271" s="122">
        <f>ROUND(VLOOKUP(A271,'[2]Contribution Allocation_Report'!$A$9:$D$310,4,FALSE)*'PY_OPEB Amounts'!$C$323,0)</f>
        <v>696567</v>
      </c>
      <c r="D271" s="122">
        <f>ROUND(VLOOKUP(A271,'[2]Contribution Allocation_Report'!$A$9:$D$310,4,FALSE)*'PY_OPEB Amounts'!$D$323,0)</f>
        <v>10185</v>
      </c>
      <c r="E271" s="122">
        <f>ROUND(VLOOKUP(A271,'[2]Contribution Allocation_Report'!$A$9:$D$310,4,FALSE)*'PY_OPEB Amounts'!$E$323,0)</f>
        <v>139459</v>
      </c>
      <c r="F271" s="131">
        <f>INDEX('[2]Change in Proportion Layers'!$Z$8:$Z$321,MATCH('PY_OPEB Amounts'!A271,'[2]Change in Proportion Layers'!$A$8:$A$321,0))</f>
        <v>70945</v>
      </c>
      <c r="G271" s="122">
        <f t="shared" si="13"/>
        <v>220589</v>
      </c>
      <c r="H271" s="122"/>
      <c r="I271" s="122">
        <f>ROUND(VLOOKUP(A271,'[2]Contribution Allocation_Report'!$A$9:$D$310,4,FALSE)*'PY_OPEB Amounts'!$I$323,0)</f>
        <v>111088</v>
      </c>
      <c r="J271" s="122">
        <f>ROUND(VLOOKUP(A271,'[2]Contribution Allocation_Report'!$A$9:$D$310,4,FALSE)*'PY_OPEB Amounts'!$J$323,0)</f>
        <v>19967</v>
      </c>
      <c r="K271" s="122">
        <f>ROUND(VLOOKUP(A271,'[2]Contribution Allocation_Report'!$A$9:$D$310,4,FALSE)*'PY_OPEB Amounts'!$K$323,0)</f>
        <v>251834</v>
      </c>
      <c r="L271" s="122">
        <f>INDEX('[2]Change in Proportion Layers'!$AA$8:$AA$321,MATCH('PY_OPEB Amounts'!A271,'[2]Change in Proportion Layers'!$A$8:$A$321,0))</f>
        <v>261996</v>
      </c>
      <c r="M271" s="122">
        <f t="shared" si="14"/>
        <v>644885</v>
      </c>
      <c r="N271" s="123"/>
      <c r="O271" s="123">
        <f>ROUND(VLOOKUP(A271,'[2]Contribution Allocation_Report'!$A$9:$D$310,4,FALSE)*'PY_OPEB Amounts'!$O$323,0)</f>
        <v>-75014</v>
      </c>
      <c r="P271" s="123">
        <f>INDEX('[2]Change in Proportion Layers'!$X$8:$X$321,MATCH('PY_OPEB Amounts'!A271,'[2]Change in Proportion Layers'!$A$8:$A$321,0))</f>
        <v>-62205</v>
      </c>
      <c r="Q271" s="123">
        <f t="shared" si="12"/>
        <v>-137219</v>
      </c>
    </row>
    <row r="272" spans="1:17" ht="12" customHeight="1">
      <c r="A272" s="164">
        <v>2370</v>
      </c>
      <c r="B272" s="168" t="s">
        <v>257</v>
      </c>
      <c r="C272" s="120">
        <f>ROUND(VLOOKUP(A272,'[2]Contribution Allocation_Report'!$A$9:$D$310,4,FALSE)*'PY_OPEB Amounts'!$C$323,0)</f>
        <v>1320746</v>
      </c>
      <c r="D272" s="120">
        <f>ROUND(VLOOKUP(A272,'[2]Contribution Allocation_Report'!$A$9:$D$310,4,FALSE)*'PY_OPEB Amounts'!$D$323,0)</f>
        <v>19311</v>
      </c>
      <c r="E272" s="120">
        <f>ROUND(VLOOKUP(A272,'[2]Contribution Allocation_Report'!$A$9:$D$310,4,FALSE)*'PY_OPEB Amounts'!$E$323,0)</f>
        <v>264426</v>
      </c>
      <c r="F272" s="120">
        <f>INDEX('[2]Change in Proportion Layers'!$Z$8:$Z$321,MATCH('PY_OPEB Amounts'!A272,'[2]Change in Proportion Layers'!$A$8:$A$321,0))</f>
        <v>183897</v>
      </c>
      <c r="G272" s="120">
        <f t="shared" si="13"/>
        <v>467634</v>
      </c>
      <c r="H272" s="120"/>
      <c r="I272" s="120">
        <f>ROUND(VLOOKUP(A272,'[2]Contribution Allocation_Report'!$A$9:$D$310,4,FALSE)*'PY_OPEB Amounts'!$I$323,0)</f>
        <v>210632</v>
      </c>
      <c r="J272" s="120">
        <f>ROUND(VLOOKUP(A272,'[2]Contribution Allocation_Report'!$A$9:$D$310,4,FALSE)*'PY_OPEB Amounts'!$J$323,0)</f>
        <v>37858</v>
      </c>
      <c r="K272" s="120">
        <f>ROUND(VLOOKUP(A272,'[2]Contribution Allocation_Report'!$A$9:$D$310,4,FALSE)*'PY_OPEB Amounts'!$K$323,0)</f>
        <v>477497</v>
      </c>
      <c r="L272" s="120">
        <f>INDEX('[2]Change in Proportion Layers'!$AA$8:$AA$321,MATCH('PY_OPEB Amounts'!A272,'[2]Change in Proportion Layers'!$A$8:$A$321,0))</f>
        <v>66242</v>
      </c>
      <c r="M272" s="120">
        <f t="shared" si="14"/>
        <v>792229</v>
      </c>
      <c r="N272" s="121"/>
      <c r="O272" s="121">
        <f>ROUND(VLOOKUP(A272,'[2]Contribution Allocation_Report'!$A$9:$D$310,4,FALSE)*'PY_OPEB Amounts'!$O$323,0)</f>
        <v>-142233</v>
      </c>
      <c r="P272" s="121">
        <f>INDEX('[2]Change in Proportion Layers'!$X$8:$X$321,MATCH('PY_OPEB Amounts'!A272,'[2]Change in Proportion Layers'!$A$8:$A$321,0))</f>
        <v>9157</v>
      </c>
      <c r="Q272" s="121">
        <f t="shared" si="12"/>
        <v>-133076</v>
      </c>
    </row>
    <row r="273" spans="1:17" ht="12" customHeight="1">
      <c r="A273" s="166">
        <v>32094</v>
      </c>
      <c r="B273" s="167" t="s">
        <v>258</v>
      </c>
      <c r="C273" s="122">
        <f>ROUND(VLOOKUP(A273,'[2]Contribution Allocation_Report'!$A$9:$D$310,4,FALSE)*'PY_OPEB Amounts'!$C$323,0)</f>
        <v>1346082</v>
      </c>
      <c r="D273" s="122">
        <f>ROUND(VLOOKUP(A273,'[2]Contribution Allocation_Report'!$A$9:$D$310,4,FALSE)*'PY_OPEB Amounts'!$D$323,0)</f>
        <v>19681</v>
      </c>
      <c r="E273" s="122">
        <f>ROUND(VLOOKUP(A273,'[2]Contribution Allocation_Report'!$A$9:$D$310,4,FALSE)*'PY_OPEB Amounts'!$E$323,0)</f>
        <v>269498</v>
      </c>
      <c r="F273" s="122">
        <f>INDEX('[2]Change in Proportion Layers'!$Z$8:$Z$321,MATCH('PY_OPEB Amounts'!A273,'[2]Change in Proportion Layers'!$A$8:$A$321,0))</f>
        <v>86409</v>
      </c>
      <c r="G273" s="122">
        <f t="shared" si="13"/>
        <v>375588</v>
      </c>
      <c r="H273" s="122"/>
      <c r="I273" s="122">
        <f>ROUND(VLOOKUP(A273,'[2]Contribution Allocation_Report'!$A$9:$D$310,4,FALSE)*'PY_OPEB Amounts'!$I$323,0)</f>
        <v>214672</v>
      </c>
      <c r="J273" s="122">
        <f>ROUND(VLOOKUP(A273,'[2]Contribution Allocation_Report'!$A$9:$D$310,4,FALSE)*'PY_OPEB Amounts'!$J$323,0)</f>
        <v>38584</v>
      </c>
      <c r="K273" s="122">
        <f>ROUND(VLOOKUP(A273,'[2]Contribution Allocation_Report'!$A$9:$D$310,4,FALSE)*'PY_OPEB Amounts'!$K$323,0)</f>
        <v>486656</v>
      </c>
      <c r="L273" s="122">
        <f>INDEX('[2]Change in Proportion Layers'!$AA$8:$AA$321,MATCH('PY_OPEB Amounts'!A273,'[2]Change in Proportion Layers'!$A$8:$A$321,0))</f>
        <v>52207</v>
      </c>
      <c r="M273" s="122">
        <f t="shared" si="14"/>
        <v>792119</v>
      </c>
      <c r="N273" s="123"/>
      <c r="O273" s="123">
        <f>ROUND(VLOOKUP(A273,'[2]Contribution Allocation_Report'!$A$9:$D$310,4,FALSE)*'PY_OPEB Amounts'!$O$323,0)</f>
        <v>-144962</v>
      </c>
      <c r="P273" s="123">
        <f>INDEX('[2]Change in Proportion Layers'!$X$8:$X$321,MATCH('PY_OPEB Amounts'!A273,'[2]Change in Proportion Layers'!$A$8:$A$321,0))</f>
        <v>-8010</v>
      </c>
      <c r="Q273" s="123">
        <f t="shared" si="12"/>
        <v>-152972</v>
      </c>
    </row>
    <row r="274" spans="1:17" ht="12" customHeight="1">
      <c r="A274" s="164">
        <v>2790</v>
      </c>
      <c r="B274" s="168" t="s">
        <v>259</v>
      </c>
      <c r="C274" s="120">
        <f>ROUND(VLOOKUP(A274,'[2]Contribution Allocation_Report'!$A$9:$D$310,4,FALSE)*'PY_OPEB Amounts'!$C$323,0)</f>
        <v>149053</v>
      </c>
      <c r="D274" s="120">
        <f>ROUND(VLOOKUP(A274,'[2]Contribution Allocation_Report'!$A$9:$D$310,4,FALSE)*'PY_OPEB Amounts'!$D$323,0)</f>
        <v>2179</v>
      </c>
      <c r="E274" s="120">
        <f>ROUND(VLOOKUP(A274,'[2]Contribution Allocation_Report'!$A$9:$D$310,4,FALSE)*'PY_OPEB Amounts'!$E$323,0)</f>
        <v>29842</v>
      </c>
      <c r="F274" s="120">
        <f>INDEX('[2]Change in Proportion Layers'!$Z$8:$Z$321,MATCH('PY_OPEB Amounts'!A274,'[2]Change in Proportion Layers'!$A$8:$A$321,0))</f>
        <v>43445</v>
      </c>
      <c r="G274" s="120">
        <f t="shared" si="13"/>
        <v>75466</v>
      </c>
      <c r="H274" s="120"/>
      <c r="I274" s="120">
        <f>ROUND(VLOOKUP(A274,'[2]Contribution Allocation_Report'!$A$9:$D$310,4,FALSE)*'PY_OPEB Amounts'!$I$323,0)</f>
        <v>23771</v>
      </c>
      <c r="J274" s="120">
        <f>ROUND(VLOOKUP(A274,'[2]Contribution Allocation_Report'!$A$9:$D$310,4,FALSE)*'PY_OPEB Amounts'!$J$323,0)</f>
        <v>4272</v>
      </c>
      <c r="K274" s="120">
        <f>ROUND(VLOOKUP(A274,'[2]Contribution Allocation_Report'!$A$9:$D$310,4,FALSE)*'PY_OPEB Amounts'!$K$323,0)</f>
        <v>53888</v>
      </c>
      <c r="L274" s="120">
        <f>INDEX('[2]Change in Proportion Layers'!$AA$8:$AA$321,MATCH('PY_OPEB Amounts'!A274,'[2]Change in Proportion Layers'!$A$8:$A$321,0))</f>
        <v>57779</v>
      </c>
      <c r="M274" s="120">
        <f t="shared" si="14"/>
        <v>139710</v>
      </c>
      <c r="N274" s="121"/>
      <c r="O274" s="121">
        <f>ROUND(VLOOKUP(A274,'[2]Contribution Allocation_Report'!$A$9:$D$310,4,FALSE)*'PY_OPEB Amounts'!$O$323,0)</f>
        <v>-16052</v>
      </c>
      <c r="P274" s="121">
        <f>INDEX('[2]Change in Proportion Layers'!$X$8:$X$321,MATCH('PY_OPEB Amounts'!A274,'[2]Change in Proportion Layers'!$A$8:$A$321,0))</f>
        <v>-7649</v>
      </c>
      <c r="Q274" s="121">
        <f t="shared" si="12"/>
        <v>-23701</v>
      </c>
    </row>
    <row r="275" spans="1:17" ht="12" customHeight="1">
      <c r="A275" s="166">
        <v>3330</v>
      </c>
      <c r="B275" s="167" t="s">
        <v>260</v>
      </c>
      <c r="C275" s="122">
        <f>ROUND(VLOOKUP(A275,'[2]Contribution Allocation_Report'!$A$9:$D$310,4,FALSE)*'PY_OPEB Amounts'!$C$323,0)</f>
        <v>2986651</v>
      </c>
      <c r="D275" s="122">
        <f>ROUND(VLOOKUP(A275,'[2]Contribution Allocation_Report'!$A$9:$D$310,4,FALSE)*'PY_OPEB Amounts'!$D$323,0)</f>
        <v>43669</v>
      </c>
      <c r="E275" s="122">
        <f>ROUND(VLOOKUP(A275,'[2]Contribution Allocation_Report'!$A$9:$D$310,4,FALSE)*'PY_OPEB Amounts'!$E$323,0)</f>
        <v>597955</v>
      </c>
      <c r="F275" s="122">
        <f>INDEX('[2]Change in Proportion Layers'!$Z$8:$Z$321,MATCH('PY_OPEB Amounts'!A275,'[2]Change in Proportion Layers'!$A$8:$A$321,0))</f>
        <v>327407</v>
      </c>
      <c r="G275" s="122">
        <f t="shared" si="13"/>
        <v>969031</v>
      </c>
      <c r="H275" s="122"/>
      <c r="I275" s="122">
        <f>ROUND(VLOOKUP(A275,'[2]Contribution Allocation_Report'!$A$9:$D$310,4,FALSE)*'PY_OPEB Amounts'!$I$323,0)</f>
        <v>476309</v>
      </c>
      <c r="J275" s="122">
        <f>ROUND(VLOOKUP(A275,'[2]Contribution Allocation_Report'!$A$9:$D$310,4,FALSE)*'PY_OPEB Amounts'!$J$323,0)</f>
        <v>85610</v>
      </c>
      <c r="K275" s="122">
        <f>ROUND(VLOOKUP(A275,'[2]Contribution Allocation_Report'!$A$9:$D$310,4,FALSE)*'PY_OPEB Amounts'!$K$323,0)</f>
        <v>1079780</v>
      </c>
      <c r="L275" s="122">
        <f>INDEX('[2]Change in Proportion Layers'!$AA$8:$AA$321,MATCH('PY_OPEB Amounts'!A275,'[2]Change in Proportion Layers'!$A$8:$A$321,0))</f>
        <v>45668</v>
      </c>
      <c r="M275" s="122">
        <f t="shared" si="14"/>
        <v>1687367</v>
      </c>
      <c r="N275" s="123"/>
      <c r="O275" s="123">
        <f>ROUND(VLOOKUP(A275,'[2]Contribution Allocation_Report'!$A$9:$D$310,4,FALSE)*'PY_OPEB Amounts'!$O$323,0)</f>
        <v>-321637</v>
      </c>
      <c r="P275" s="123">
        <f>INDEX('[2]Change in Proportion Layers'!$X$8:$X$321,MATCH('PY_OPEB Amounts'!A275,'[2]Change in Proportion Layers'!$A$8:$A$321,0))</f>
        <v>54219</v>
      </c>
      <c r="Q275" s="123">
        <f t="shared" si="12"/>
        <v>-267418</v>
      </c>
    </row>
    <row r="276" spans="1:17" ht="12" customHeight="1">
      <c r="A276" s="164">
        <v>2080</v>
      </c>
      <c r="B276" s="168" t="s">
        <v>261</v>
      </c>
      <c r="C276" s="120">
        <f>ROUND(VLOOKUP(A276,'[2]Contribution Allocation_Report'!$A$9:$D$310,4,FALSE)*'PY_OPEB Amounts'!$C$323,0)</f>
        <v>3407815</v>
      </c>
      <c r="D276" s="120">
        <f>ROUND(VLOOKUP(A276,'[2]Contribution Allocation_Report'!$A$9:$D$310,4,FALSE)*'PY_OPEB Amounts'!$D$323,0)</f>
        <v>49827</v>
      </c>
      <c r="E276" s="120">
        <f>ROUND(VLOOKUP(A276,'[2]Contribution Allocation_Report'!$A$9:$D$310,4,FALSE)*'PY_OPEB Amounts'!$E$323,0)</f>
        <v>682276</v>
      </c>
      <c r="F276" s="120">
        <f>INDEX('[2]Change in Proportion Layers'!$Z$8:$Z$321,MATCH('PY_OPEB Amounts'!A276,'[2]Change in Proportion Layers'!$A$8:$A$321,0))</f>
        <v>337506</v>
      </c>
      <c r="G276" s="120">
        <f t="shared" si="13"/>
        <v>1069609</v>
      </c>
      <c r="H276" s="120"/>
      <c r="I276" s="120">
        <f>ROUND(VLOOKUP(A276,'[2]Contribution Allocation_Report'!$A$9:$D$310,4,FALSE)*'PY_OPEB Amounts'!$I$323,0)</f>
        <v>543476</v>
      </c>
      <c r="J276" s="120">
        <f>ROUND(VLOOKUP(A276,'[2]Contribution Allocation_Report'!$A$9:$D$310,4,FALSE)*'PY_OPEB Amounts'!$J$323,0)</f>
        <v>97682</v>
      </c>
      <c r="K276" s="120">
        <f>ROUND(VLOOKUP(A276,'[2]Contribution Allocation_Report'!$A$9:$D$310,4,FALSE)*'PY_OPEB Amounts'!$K$323,0)</f>
        <v>1232046</v>
      </c>
      <c r="L276" s="120">
        <f>INDEX('[2]Change in Proportion Layers'!$AA$8:$AA$321,MATCH('PY_OPEB Amounts'!A276,'[2]Change in Proportion Layers'!$A$8:$A$321,0))</f>
        <v>194807</v>
      </c>
      <c r="M276" s="120">
        <f t="shared" si="14"/>
        <v>2068011</v>
      </c>
      <c r="N276" s="121"/>
      <c r="O276" s="121">
        <f>ROUND(VLOOKUP(A276,'[2]Contribution Allocation_Report'!$A$9:$D$310,4,FALSE)*'PY_OPEB Amounts'!$O$323,0)</f>
        <v>-366993</v>
      </c>
      <c r="P276" s="121">
        <f>INDEX('[2]Change in Proportion Layers'!$X$8:$X$321,MATCH('PY_OPEB Amounts'!A276,'[2]Change in Proportion Layers'!$A$8:$A$321,0))</f>
        <v>82795</v>
      </c>
      <c r="Q276" s="121">
        <f t="shared" si="12"/>
        <v>-284198</v>
      </c>
    </row>
    <row r="277" spans="1:17" ht="12" customHeight="1">
      <c r="A277" s="166">
        <v>4290</v>
      </c>
      <c r="B277" s="167" t="s">
        <v>262</v>
      </c>
      <c r="C277" s="122">
        <f>ROUND(VLOOKUP(A277,'[2]Contribution Allocation_Report'!$A$9:$D$310,4,FALSE)*'PY_OPEB Amounts'!$C$323,0)</f>
        <v>1121680</v>
      </c>
      <c r="D277" s="122">
        <f>ROUND(VLOOKUP(A277,'[2]Contribution Allocation_Report'!$A$9:$D$310,4,FALSE)*'PY_OPEB Amounts'!$D$323,0)</f>
        <v>16400</v>
      </c>
      <c r="E277" s="122">
        <f>ROUND(VLOOKUP(A277,'[2]Contribution Allocation_Report'!$A$9:$D$310,4,FALSE)*'PY_OPEB Amounts'!$E$323,0)</f>
        <v>224571</v>
      </c>
      <c r="F277" s="122">
        <f>INDEX('[2]Change in Proportion Layers'!$Z$8:$Z$321,MATCH('PY_OPEB Amounts'!A277,'[2]Change in Proportion Layers'!$A$8:$A$321,0))</f>
        <v>152442</v>
      </c>
      <c r="G277" s="122">
        <f t="shared" si="13"/>
        <v>393413</v>
      </c>
      <c r="H277" s="122"/>
      <c r="I277" s="122">
        <f>ROUND(VLOOKUP(A277,'[2]Contribution Allocation_Report'!$A$9:$D$310,4,FALSE)*'PY_OPEB Amounts'!$I$323,0)</f>
        <v>178885</v>
      </c>
      <c r="J277" s="122">
        <f>ROUND(VLOOKUP(A277,'[2]Contribution Allocation_Report'!$A$9:$D$310,4,FALSE)*'PY_OPEB Amounts'!$J$323,0)</f>
        <v>32152</v>
      </c>
      <c r="K277" s="122">
        <f>ROUND(VLOOKUP(A277,'[2]Contribution Allocation_Report'!$A$9:$D$310,4,FALSE)*'PY_OPEB Amounts'!$K$323,0)</f>
        <v>405527</v>
      </c>
      <c r="L277" s="131">
        <f>INDEX('[2]Change in Proportion Layers'!$AA$8:$AA$321,MATCH('PY_OPEB Amounts'!A277,'[2]Change in Proportion Layers'!$A$8:$A$321,0))</f>
        <v>10253</v>
      </c>
      <c r="M277" s="122">
        <f t="shared" si="14"/>
        <v>626817</v>
      </c>
      <c r="N277" s="123"/>
      <c r="O277" s="123">
        <f>ROUND(VLOOKUP(A277,'[2]Contribution Allocation_Report'!$A$9:$D$310,4,FALSE)*'PY_OPEB Amounts'!$O$323,0)</f>
        <v>-120796</v>
      </c>
      <c r="P277" s="123">
        <f>INDEX('[2]Change in Proportion Layers'!$X$8:$X$321,MATCH('PY_OPEB Amounts'!A277,'[2]Change in Proportion Layers'!$A$8:$A$321,0))</f>
        <v>65722</v>
      </c>
      <c r="Q277" s="123">
        <f t="shared" si="12"/>
        <v>-55074</v>
      </c>
    </row>
    <row r="278" spans="1:17" ht="12" customHeight="1">
      <c r="A278" s="164">
        <v>2270</v>
      </c>
      <c r="B278" s="168" t="s">
        <v>263</v>
      </c>
      <c r="C278" s="120">
        <f>ROUND(VLOOKUP(A278,'[2]Contribution Allocation_Report'!$A$9:$D$310,4,FALSE)*'PY_OPEB Amounts'!$C$323,0)</f>
        <v>63833</v>
      </c>
      <c r="D278" s="120">
        <f>ROUND(VLOOKUP(A278,'[2]Contribution Allocation_Report'!$A$9:$D$310,4,FALSE)*'PY_OPEB Amounts'!$D$323,0)</f>
        <v>933</v>
      </c>
      <c r="E278" s="120">
        <f>ROUND(VLOOKUP(A278,'[2]Contribution Allocation_Report'!$A$9:$D$310,4,FALSE)*'PY_OPEB Amounts'!$E$323,0)</f>
        <v>12780</v>
      </c>
      <c r="F278" s="120">
        <f>INDEX('[2]Change in Proportion Layers'!$Z$8:$Z$321,MATCH('PY_OPEB Amounts'!A278,'[2]Change in Proportion Layers'!$A$8:$A$321,0))</f>
        <v>8684</v>
      </c>
      <c r="G278" s="120">
        <f t="shared" si="13"/>
        <v>22397</v>
      </c>
      <c r="H278" s="120"/>
      <c r="I278" s="120">
        <f>ROUND(VLOOKUP(A278,'[2]Contribution Allocation_Report'!$A$9:$D$310,4,FALSE)*'PY_OPEB Amounts'!$I$323,0)</f>
        <v>10180</v>
      </c>
      <c r="J278" s="120">
        <f>ROUND(VLOOKUP(A278,'[2]Contribution Allocation_Report'!$A$9:$D$310,4,FALSE)*'PY_OPEB Amounts'!$J$323,0)</f>
        <v>1830</v>
      </c>
      <c r="K278" s="120">
        <f>ROUND(VLOOKUP(A278,'[2]Contribution Allocation_Report'!$A$9:$D$310,4,FALSE)*'PY_OPEB Amounts'!$K$323,0)</f>
        <v>23078</v>
      </c>
      <c r="L278" s="130">
        <f>INDEX('[2]Change in Proportion Layers'!$AA$8:$AA$321,MATCH('PY_OPEB Amounts'!A278,'[2]Change in Proportion Layers'!$A$8:$A$321,0))</f>
        <v>48184</v>
      </c>
      <c r="M278" s="120">
        <f t="shared" si="14"/>
        <v>83272</v>
      </c>
      <c r="N278" s="121"/>
      <c r="O278" s="121">
        <f>ROUND(VLOOKUP(A278,'[2]Contribution Allocation_Report'!$A$9:$D$310,4,FALSE)*'PY_OPEB Amounts'!$O$323,0)</f>
        <v>-6874</v>
      </c>
      <c r="P278" s="121">
        <f>INDEX('[2]Change in Proportion Layers'!$X$8:$X$321,MATCH('PY_OPEB Amounts'!A278,'[2]Change in Proportion Layers'!$A$8:$A$321,0))</f>
        <v>-6492</v>
      </c>
      <c r="Q278" s="121">
        <f t="shared" si="12"/>
        <v>-13366</v>
      </c>
    </row>
    <row r="279" spans="1:17" ht="12" customHeight="1">
      <c r="A279" s="166">
        <v>2300</v>
      </c>
      <c r="B279" s="167" t="s">
        <v>264</v>
      </c>
      <c r="C279" s="122">
        <f>ROUND(VLOOKUP(A279,'[2]Contribution Allocation_Report'!$A$9:$D$310,4,FALSE)*'PY_OPEB Amounts'!$C$323,0)</f>
        <v>301067</v>
      </c>
      <c r="D279" s="122">
        <f>ROUND(VLOOKUP(A279,'[2]Contribution Allocation_Report'!$A$9:$D$310,4,FALSE)*'PY_OPEB Amounts'!$D$323,0)</f>
        <v>4402</v>
      </c>
      <c r="E279" s="122">
        <f>ROUND(VLOOKUP(A279,'[2]Contribution Allocation_Report'!$A$9:$D$310,4,FALSE)*'PY_OPEB Amounts'!$E$323,0)</f>
        <v>60276</v>
      </c>
      <c r="F279" s="122">
        <f>INDEX('[2]Change in Proportion Layers'!$Z$8:$Z$321,MATCH('PY_OPEB Amounts'!A279,'[2]Change in Proportion Layers'!$A$8:$A$321,0))</f>
        <v>7519</v>
      </c>
      <c r="G279" s="122">
        <f t="shared" si="13"/>
        <v>72197</v>
      </c>
      <c r="H279" s="122"/>
      <c r="I279" s="122">
        <f>ROUND(VLOOKUP(A279,'[2]Contribution Allocation_Report'!$A$9:$D$310,4,FALSE)*'PY_OPEB Amounts'!$I$323,0)</f>
        <v>48014</v>
      </c>
      <c r="J279" s="122">
        <f>ROUND(VLOOKUP(A279,'[2]Contribution Allocation_Report'!$A$9:$D$310,4,FALSE)*'PY_OPEB Amounts'!$J$323,0)</f>
        <v>8630</v>
      </c>
      <c r="K279" s="122">
        <f>ROUND(VLOOKUP(A279,'[2]Contribution Allocation_Report'!$A$9:$D$310,4,FALSE)*'PY_OPEB Amounts'!$K$323,0)</f>
        <v>108846</v>
      </c>
      <c r="L279" s="122">
        <f>INDEX('[2]Change in Proportion Layers'!$AA$8:$AA$321,MATCH('PY_OPEB Amounts'!A279,'[2]Change in Proportion Layers'!$A$8:$A$321,0))</f>
        <v>100410</v>
      </c>
      <c r="M279" s="122">
        <f t="shared" si="14"/>
        <v>265900</v>
      </c>
      <c r="N279" s="123"/>
      <c r="O279" s="123">
        <f>ROUND(VLOOKUP(A279,'[2]Contribution Allocation_Report'!$A$9:$D$310,4,FALSE)*'PY_OPEB Amounts'!$O$323,0)</f>
        <v>-32422</v>
      </c>
      <c r="P279" s="123">
        <f>INDEX('[2]Change in Proportion Layers'!$X$8:$X$321,MATCH('PY_OPEB Amounts'!A279,'[2]Change in Proportion Layers'!$A$8:$A$321,0))</f>
        <v>-35330</v>
      </c>
      <c r="Q279" s="123">
        <f t="shared" si="12"/>
        <v>-67752</v>
      </c>
    </row>
    <row r="280" spans="1:17" ht="12" customHeight="1">
      <c r="A280" s="164">
        <v>2720</v>
      </c>
      <c r="B280" s="168" t="s">
        <v>265</v>
      </c>
      <c r="C280" s="120">
        <f>ROUND(VLOOKUP(A280,'[2]Contribution Allocation_Report'!$A$9:$D$310,4,FALSE)*'PY_OPEB Amounts'!$C$323,0)</f>
        <v>4438024</v>
      </c>
      <c r="D280" s="120">
        <f>ROUND(VLOOKUP(A280,'[2]Contribution Allocation_Report'!$A$9:$D$310,4,FALSE)*'PY_OPEB Amounts'!$D$323,0)</f>
        <v>64890</v>
      </c>
      <c r="E280" s="120">
        <f>ROUND(VLOOKUP(A280,'[2]Contribution Allocation_Report'!$A$9:$D$310,4,FALSE)*'PY_OPEB Amounts'!$E$323,0)</f>
        <v>888533</v>
      </c>
      <c r="F280" s="120">
        <f>INDEX('[2]Change in Proportion Layers'!$Z$8:$Z$321,MATCH('PY_OPEB Amounts'!A280,'[2]Change in Proportion Layers'!$A$8:$A$321,0))</f>
        <v>108521</v>
      </c>
      <c r="G280" s="120">
        <f t="shared" si="13"/>
        <v>1061944</v>
      </c>
      <c r="H280" s="120"/>
      <c r="I280" s="120">
        <f>ROUND(VLOOKUP(A280,'[2]Contribution Allocation_Report'!$A$9:$D$310,4,FALSE)*'PY_OPEB Amounts'!$I$323,0)</f>
        <v>707772</v>
      </c>
      <c r="J280" s="120">
        <f>ROUND(VLOOKUP(A280,'[2]Contribution Allocation_Report'!$A$9:$D$310,4,FALSE)*'PY_OPEB Amounts'!$J$323,0)</f>
        <v>127212</v>
      </c>
      <c r="K280" s="120">
        <f>ROUND(VLOOKUP(A280,'[2]Contribution Allocation_Report'!$A$9:$D$310,4,FALSE)*'PY_OPEB Amounts'!$K$323,0)</f>
        <v>1604503</v>
      </c>
      <c r="L280" s="120">
        <f>INDEX('[2]Change in Proportion Layers'!$AA$8:$AA$321,MATCH('PY_OPEB Amounts'!A280,'[2]Change in Proportion Layers'!$A$8:$A$321,0))</f>
        <v>379165</v>
      </c>
      <c r="M280" s="120">
        <f t="shared" si="14"/>
        <v>2818652</v>
      </c>
      <c r="N280" s="121"/>
      <c r="O280" s="121">
        <f>ROUND(VLOOKUP(A280,'[2]Contribution Allocation_Report'!$A$9:$D$310,4,FALSE)*'PY_OPEB Amounts'!$O$323,0)</f>
        <v>-477938</v>
      </c>
      <c r="P280" s="121">
        <f>INDEX('[2]Change in Proportion Layers'!$X$8:$X$321,MATCH('PY_OPEB Amounts'!A280,'[2]Change in Proportion Layers'!$A$8:$A$321,0))</f>
        <v>-67242</v>
      </c>
      <c r="Q280" s="121">
        <f t="shared" si="12"/>
        <v>-545180</v>
      </c>
    </row>
    <row r="281" spans="1:17" ht="12" customHeight="1">
      <c r="A281" s="166">
        <v>2750</v>
      </c>
      <c r="B281" s="167" t="s">
        <v>266</v>
      </c>
      <c r="C281" s="122">
        <f>ROUND(VLOOKUP(A281,'[2]Contribution Allocation_Report'!$A$9:$D$310,4,FALSE)*'PY_OPEB Amounts'!$C$323,0)</f>
        <v>291854</v>
      </c>
      <c r="D281" s="122">
        <f>ROUND(VLOOKUP(A281,'[2]Contribution Allocation_Report'!$A$9:$D$310,4,FALSE)*'PY_OPEB Amounts'!$D$323,0)</f>
        <v>4267</v>
      </c>
      <c r="E281" s="122">
        <f>ROUND(VLOOKUP(A281,'[2]Contribution Allocation_Report'!$A$9:$D$310,4,FALSE)*'PY_OPEB Amounts'!$E$323,0)</f>
        <v>58432</v>
      </c>
      <c r="F281" s="122">
        <f>INDEX('[2]Change in Proportion Layers'!$Z$8:$Z$321,MATCH('PY_OPEB Amounts'!A281,'[2]Change in Proportion Layers'!$A$8:$A$321,0))</f>
        <v>14696</v>
      </c>
      <c r="G281" s="122">
        <f t="shared" si="13"/>
        <v>77395</v>
      </c>
      <c r="H281" s="122"/>
      <c r="I281" s="122">
        <f>ROUND(VLOOKUP(A281,'[2]Contribution Allocation_Report'!$A$9:$D$310,4,FALSE)*'PY_OPEB Amounts'!$I$323,0)</f>
        <v>46545</v>
      </c>
      <c r="J281" s="122">
        <f>ROUND(VLOOKUP(A281,'[2]Contribution Allocation_Report'!$A$9:$D$310,4,FALSE)*'PY_OPEB Amounts'!$J$323,0)</f>
        <v>8366</v>
      </c>
      <c r="K281" s="122">
        <f>ROUND(VLOOKUP(A281,'[2]Contribution Allocation_Report'!$A$9:$D$310,4,FALSE)*'PY_OPEB Amounts'!$K$323,0)</f>
        <v>105516</v>
      </c>
      <c r="L281" s="122">
        <f>INDEX('[2]Change in Proportion Layers'!$AA$8:$AA$321,MATCH('PY_OPEB Amounts'!A281,'[2]Change in Proportion Layers'!$A$8:$A$321,0))</f>
        <v>52397</v>
      </c>
      <c r="M281" s="122">
        <f t="shared" si="14"/>
        <v>212824</v>
      </c>
      <c r="N281" s="123"/>
      <c r="O281" s="123">
        <f>ROUND(VLOOKUP(A281,'[2]Contribution Allocation_Report'!$A$9:$D$310,4,FALSE)*'PY_OPEB Amounts'!$O$323,0)</f>
        <v>-31430</v>
      </c>
      <c r="P281" s="123">
        <f>INDEX('[2]Change in Proportion Layers'!$X$8:$X$321,MATCH('PY_OPEB Amounts'!A281,'[2]Change in Proportion Layers'!$A$8:$A$321,0))</f>
        <v>-10764</v>
      </c>
      <c r="Q281" s="123">
        <f t="shared" si="12"/>
        <v>-42194</v>
      </c>
    </row>
    <row r="282" spans="1:17" ht="12" customHeight="1">
      <c r="A282" s="164">
        <v>2770</v>
      </c>
      <c r="B282" s="168" t="s">
        <v>267</v>
      </c>
      <c r="C282" s="120">
        <f>ROUND(VLOOKUP(A282,'[2]Contribution Allocation_Report'!$A$9:$D$310,4,FALSE)*'PY_OPEB Amounts'!$C$323,0)</f>
        <v>3415054</v>
      </c>
      <c r="D282" s="120">
        <f>ROUND(VLOOKUP(A282,'[2]Contribution Allocation_Report'!$A$9:$D$310,4,FALSE)*'PY_OPEB Amounts'!$D$323,0)</f>
        <v>49933</v>
      </c>
      <c r="E282" s="120">
        <f>ROUND(VLOOKUP(A282,'[2]Contribution Allocation_Report'!$A$9:$D$310,4,FALSE)*'PY_OPEB Amounts'!$E$323,0)</f>
        <v>683725</v>
      </c>
      <c r="F282" s="120">
        <f>INDEX('[2]Change in Proportion Layers'!$Z$8:$Z$321,MATCH('PY_OPEB Amounts'!A282,'[2]Change in Proportion Layers'!$A$8:$A$321,0))</f>
        <v>62062</v>
      </c>
      <c r="G282" s="120">
        <f t="shared" si="13"/>
        <v>795720</v>
      </c>
      <c r="H282" s="120"/>
      <c r="I282" s="120">
        <f>ROUND(VLOOKUP(A282,'[2]Contribution Allocation_Report'!$A$9:$D$310,4,FALSE)*'PY_OPEB Amounts'!$I$323,0)</f>
        <v>544630</v>
      </c>
      <c r="J282" s="120">
        <f>ROUND(VLOOKUP(A282,'[2]Contribution Allocation_Report'!$A$9:$D$310,4,FALSE)*'PY_OPEB Amounts'!$J$323,0)</f>
        <v>97890</v>
      </c>
      <c r="K282" s="120">
        <f>ROUND(VLOOKUP(A282,'[2]Contribution Allocation_Report'!$A$9:$D$310,4,FALSE)*'PY_OPEB Amounts'!$K$323,0)</f>
        <v>1234663</v>
      </c>
      <c r="L282" s="120">
        <f>INDEX('[2]Change in Proportion Layers'!$AA$8:$AA$321,MATCH('PY_OPEB Amounts'!A282,'[2]Change in Proportion Layers'!$A$8:$A$321,0))</f>
        <v>900320</v>
      </c>
      <c r="M282" s="120">
        <f t="shared" si="14"/>
        <v>2777503</v>
      </c>
      <c r="N282" s="121"/>
      <c r="O282" s="121">
        <f>ROUND(VLOOKUP(A282,'[2]Contribution Allocation_Report'!$A$9:$D$310,4,FALSE)*'PY_OPEB Amounts'!$O$323,0)</f>
        <v>-367773</v>
      </c>
      <c r="P282" s="121">
        <f>INDEX('[2]Change in Proportion Layers'!$X$8:$X$321,MATCH('PY_OPEB Amounts'!A282,'[2]Change in Proportion Layers'!$A$8:$A$321,0))</f>
        <v>-200936</v>
      </c>
      <c r="Q282" s="121">
        <f t="shared" si="12"/>
        <v>-568709</v>
      </c>
    </row>
    <row r="283" spans="1:17" ht="12" customHeight="1">
      <c r="A283" s="166">
        <v>32106</v>
      </c>
      <c r="B283" s="167" t="s">
        <v>268</v>
      </c>
      <c r="C283" s="122">
        <f>ROUND(VLOOKUP(A283,'[2]Contribution Allocation_Report'!$A$9:$D$310,4,FALSE)*'PY_OPEB Amounts'!$C$323,0)</f>
        <v>527772</v>
      </c>
      <c r="D283" s="122">
        <f>ROUND(VLOOKUP(A283,'[2]Contribution Allocation_Report'!$A$9:$D$310,4,FALSE)*'PY_OPEB Amounts'!$D$323,0)</f>
        <v>7717</v>
      </c>
      <c r="E283" s="122">
        <f>ROUND(VLOOKUP(A283,'[2]Contribution Allocation_Report'!$A$9:$D$310,4,FALSE)*'PY_OPEB Amounts'!$E$323,0)</f>
        <v>105665</v>
      </c>
      <c r="F283" s="122">
        <f>INDEX('[2]Change in Proportion Layers'!$Z$8:$Z$321,MATCH('PY_OPEB Amounts'!A283,'[2]Change in Proportion Layers'!$A$8:$A$321,0))</f>
        <v>300331</v>
      </c>
      <c r="G283" s="122">
        <f t="shared" si="13"/>
        <v>413713</v>
      </c>
      <c r="H283" s="122"/>
      <c r="I283" s="122">
        <f>ROUND(VLOOKUP(A283,'[2]Contribution Allocation_Report'!$A$9:$D$310,4,FALSE)*'PY_OPEB Amounts'!$I$323,0)</f>
        <v>84169</v>
      </c>
      <c r="J283" s="122">
        <f>ROUND(VLOOKUP(A283,'[2]Contribution Allocation_Report'!$A$9:$D$310,4,FALSE)*'PY_OPEB Amounts'!$J$323,0)</f>
        <v>15128</v>
      </c>
      <c r="K283" s="122">
        <f>ROUND(VLOOKUP(A283,'[2]Contribution Allocation_Report'!$A$9:$D$310,4,FALSE)*'PY_OPEB Amounts'!$K$323,0)</f>
        <v>190808</v>
      </c>
      <c r="L283" s="131">
        <f>INDEX('[2]Change in Proportion Layers'!$AA$8:$AA$321,MATCH('PY_OPEB Amounts'!A283,'[2]Change in Proportion Layers'!$A$8:$A$321,0))</f>
        <v>82364</v>
      </c>
      <c r="M283" s="122">
        <f t="shared" si="14"/>
        <v>372469</v>
      </c>
      <c r="N283" s="123"/>
      <c r="O283" s="123">
        <f>ROUND(VLOOKUP(A283,'[2]Contribution Allocation_Report'!$A$9:$D$310,4,FALSE)*'PY_OPEB Amounts'!$O$323,0)</f>
        <v>-56837</v>
      </c>
      <c r="P283" s="123">
        <f>INDEX('[2]Change in Proportion Layers'!$X$8:$X$321,MATCH('PY_OPEB Amounts'!A283,'[2]Change in Proportion Layers'!$A$8:$A$321,0))</f>
        <v>73919</v>
      </c>
      <c r="Q283" s="123">
        <f t="shared" si="12"/>
        <v>17082</v>
      </c>
    </row>
    <row r="284" spans="1:17" ht="12" customHeight="1">
      <c r="A284" s="164">
        <v>4180</v>
      </c>
      <c r="B284" s="168" t="s">
        <v>269</v>
      </c>
      <c r="C284" s="120">
        <f>ROUND(VLOOKUP(A284,'[2]Contribution Allocation_Report'!$A$9:$D$310,4,FALSE)*'PY_OPEB Amounts'!$C$323,0)</f>
        <v>518559</v>
      </c>
      <c r="D284" s="120">
        <f>ROUND(VLOOKUP(A284,'[2]Contribution Allocation_Report'!$A$9:$D$310,4,FALSE)*'PY_OPEB Amounts'!$D$323,0)</f>
        <v>7582</v>
      </c>
      <c r="E284" s="120">
        <f>ROUND(VLOOKUP(A284,'[2]Contribution Allocation_Report'!$A$9:$D$310,4,FALSE)*'PY_OPEB Amounts'!$E$323,0)</f>
        <v>103820</v>
      </c>
      <c r="F284" s="120">
        <f>INDEX('[2]Change in Proportion Layers'!$Z$8:$Z$321,MATCH('PY_OPEB Amounts'!A284,'[2]Change in Proportion Layers'!$A$8:$A$321,0))</f>
        <v>100797</v>
      </c>
      <c r="G284" s="120">
        <f t="shared" si="13"/>
        <v>212199</v>
      </c>
      <c r="H284" s="120"/>
      <c r="I284" s="120">
        <f>ROUND(VLOOKUP(A284,'[2]Contribution Allocation_Report'!$A$9:$D$310,4,FALSE)*'PY_OPEB Amounts'!$I$323,0)</f>
        <v>82699</v>
      </c>
      <c r="J284" s="120">
        <f>ROUND(VLOOKUP(A284,'[2]Contribution Allocation_Report'!$A$9:$D$310,4,FALSE)*'PY_OPEB Amounts'!$J$323,0)</f>
        <v>14864</v>
      </c>
      <c r="K284" s="120">
        <f>ROUND(VLOOKUP(A284,'[2]Contribution Allocation_Report'!$A$9:$D$310,4,FALSE)*'PY_OPEB Amounts'!$K$323,0)</f>
        <v>187478</v>
      </c>
      <c r="L284" s="130">
        <f>INDEX('[2]Change in Proportion Layers'!$AA$8:$AA$321,MATCH('PY_OPEB Amounts'!A284,'[2]Change in Proportion Layers'!$A$8:$A$321,0))</f>
        <v>44925</v>
      </c>
      <c r="M284" s="120">
        <f t="shared" si="14"/>
        <v>329966</v>
      </c>
      <c r="N284" s="121"/>
      <c r="O284" s="121">
        <f>ROUND(VLOOKUP(A284,'[2]Contribution Allocation_Report'!$A$9:$D$310,4,FALSE)*'PY_OPEB Amounts'!$O$323,0)</f>
        <v>-55844</v>
      </c>
      <c r="P284" s="121">
        <f>INDEX('[2]Change in Proportion Layers'!$X$8:$X$321,MATCH('PY_OPEB Amounts'!A284,'[2]Change in Proportion Layers'!$A$8:$A$321,0))</f>
        <v>11686</v>
      </c>
      <c r="Q284" s="121">
        <f t="shared" si="12"/>
        <v>-44158</v>
      </c>
    </row>
    <row r="285" spans="1:17" ht="12" customHeight="1">
      <c r="A285" s="166">
        <v>21063</v>
      </c>
      <c r="B285" s="167" t="s">
        <v>270</v>
      </c>
      <c r="C285" s="122">
        <f>ROUND(VLOOKUP(A285,'[2]Contribution Allocation_Report'!$A$9:$D$310,4,FALSE)*'PY_OPEB Amounts'!$C$323,0)</f>
        <v>6155586</v>
      </c>
      <c r="D285" s="122">
        <f>ROUND(VLOOKUP(A285,'[2]Contribution Allocation_Report'!$A$9:$D$310,4,FALSE)*'PY_OPEB Amounts'!$D$323,0)</f>
        <v>90003</v>
      </c>
      <c r="E285" s="122">
        <f>ROUND(VLOOKUP(A285,'[2]Contribution Allocation_Report'!$A$9:$D$310,4,FALSE)*'PY_OPEB Amounts'!$E$323,0)</f>
        <v>1232405</v>
      </c>
      <c r="F285" s="122">
        <f>INDEX('[2]Change in Proportion Layers'!$Z$8:$Z$321,MATCH('PY_OPEB Amounts'!A285,'[2]Change in Proportion Layers'!$A$8:$A$321,0))</f>
        <v>284432</v>
      </c>
      <c r="G285" s="122">
        <f t="shared" si="13"/>
        <v>1606840</v>
      </c>
      <c r="H285" s="122"/>
      <c r="I285" s="122">
        <f>ROUND(VLOOKUP(A285,'[2]Contribution Allocation_Report'!$A$9:$D$310,4,FALSE)*'PY_OPEB Amounts'!$I$323,0)</f>
        <v>981688</v>
      </c>
      <c r="J285" s="122">
        <f>ROUND(VLOOKUP(A285,'[2]Contribution Allocation_Report'!$A$9:$D$310,4,FALSE)*'PY_OPEB Amounts'!$J$323,0)</f>
        <v>176445</v>
      </c>
      <c r="K285" s="122">
        <f>ROUND(VLOOKUP(A285,'[2]Contribution Allocation_Report'!$A$9:$D$310,4,FALSE)*'PY_OPEB Amounts'!$K$323,0)</f>
        <v>2225463</v>
      </c>
      <c r="L285" s="122">
        <f>INDEX('[2]Change in Proportion Layers'!$AA$8:$AA$321,MATCH('PY_OPEB Amounts'!A285,'[2]Change in Proportion Layers'!$A$8:$A$321,0))</f>
        <v>335051</v>
      </c>
      <c r="M285" s="122">
        <f t="shared" si="14"/>
        <v>3718647</v>
      </c>
      <c r="N285" s="123"/>
      <c r="O285" s="123">
        <f>ROUND(VLOOKUP(A285,'[2]Contribution Allocation_Report'!$A$9:$D$310,4,FALSE)*'PY_OPEB Amounts'!$O$323,0)</f>
        <v>-662905</v>
      </c>
      <c r="P285" s="123">
        <f>INDEX('[2]Change in Proportion Layers'!$X$8:$X$321,MATCH('PY_OPEB Amounts'!A285,'[2]Change in Proportion Layers'!$A$8:$A$321,0))</f>
        <v>-79348</v>
      </c>
      <c r="Q285" s="123">
        <f t="shared" si="12"/>
        <v>-742253</v>
      </c>
    </row>
    <row r="286" spans="1:17" ht="12" customHeight="1">
      <c r="A286" s="164">
        <v>10033</v>
      </c>
      <c r="B286" s="168" t="s">
        <v>271</v>
      </c>
      <c r="C286" s="120">
        <f>ROUND(VLOOKUP(A286,'[2]Contribution Allocation_Report'!$A$9:$D$310,4,FALSE)*'PY_OPEB Amounts'!$C$323,0)</f>
        <v>4361359</v>
      </c>
      <c r="D286" s="120">
        <f>ROUND(VLOOKUP(A286,'[2]Contribution Allocation_Report'!$A$9:$D$310,4,FALSE)*'PY_OPEB Amounts'!$D$323,0)</f>
        <v>63769</v>
      </c>
      <c r="E286" s="120">
        <f>ROUND(VLOOKUP(A286,'[2]Contribution Allocation_Report'!$A$9:$D$310,4,FALSE)*'PY_OPEB Amounts'!$E$323,0)</f>
        <v>873184</v>
      </c>
      <c r="F286" s="120">
        <f>INDEX('[2]Change in Proportion Layers'!$Z$8:$Z$321,MATCH('PY_OPEB Amounts'!A286,'[2]Change in Proportion Layers'!$A$8:$A$321,0))</f>
        <v>129871</v>
      </c>
      <c r="G286" s="120">
        <f t="shared" si="13"/>
        <v>1066824</v>
      </c>
      <c r="H286" s="120"/>
      <c r="I286" s="120">
        <f>ROUND(VLOOKUP(A286,'[2]Contribution Allocation_Report'!$A$9:$D$310,4,FALSE)*'PY_OPEB Amounts'!$I$323,0)</f>
        <v>695546</v>
      </c>
      <c r="J286" s="120">
        <f>ROUND(VLOOKUP(A286,'[2]Contribution Allocation_Report'!$A$9:$D$310,4,FALSE)*'PY_OPEB Amounts'!$J$323,0)</f>
        <v>125015</v>
      </c>
      <c r="K286" s="120">
        <f>ROUND(VLOOKUP(A286,'[2]Contribution Allocation_Report'!$A$9:$D$310,4,FALSE)*'PY_OPEB Amounts'!$K$323,0)</f>
        <v>1576786</v>
      </c>
      <c r="L286" s="120">
        <f>INDEX('[2]Change in Proportion Layers'!$AA$8:$AA$321,MATCH('PY_OPEB Amounts'!A286,'[2]Change in Proportion Layers'!$A$8:$A$321,0))</f>
        <v>156089</v>
      </c>
      <c r="M286" s="120">
        <f t="shared" si="14"/>
        <v>2553436</v>
      </c>
      <c r="N286" s="121"/>
      <c r="O286" s="121">
        <f>ROUND(VLOOKUP(A286,'[2]Contribution Allocation_Report'!$A$9:$D$310,4,FALSE)*'PY_OPEB Amounts'!$O$323,0)</f>
        <v>-469682</v>
      </c>
      <c r="P286" s="121">
        <f>INDEX('[2]Change in Proportion Layers'!$X$8:$X$321,MATCH('PY_OPEB Amounts'!A286,'[2]Change in Proportion Layers'!$A$8:$A$321,0))</f>
        <v>-22545</v>
      </c>
      <c r="Q286" s="121">
        <f t="shared" si="12"/>
        <v>-492227</v>
      </c>
    </row>
    <row r="287" spans="1:17" ht="12" customHeight="1">
      <c r="A287" s="166">
        <v>15049</v>
      </c>
      <c r="B287" s="167" t="s">
        <v>272</v>
      </c>
      <c r="C287" s="122">
        <f>ROUND(VLOOKUP(A287,'[2]Contribution Allocation_Report'!$A$9:$D$310,4,FALSE)*'PY_OPEB Amounts'!$C$323,0)</f>
        <v>4351817</v>
      </c>
      <c r="D287" s="122">
        <f>ROUND(VLOOKUP(A287,'[2]Contribution Allocation_Report'!$A$9:$D$310,4,FALSE)*'PY_OPEB Amounts'!$D$323,0)</f>
        <v>63629</v>
      </c>
      <c r="E287" s="122">
        <f>ROUND(VLOOKUP(A287,'[2]Contribution Allocation_Report'!$A$9:$D$310,4,FALSE)*'PY_OPEB Amounts'!$E$323,0)</f>
        <v>871274</v>
      </c>
      <c r="F287" s="122">
        <f>INDEX('[2]Change in Proportion Layers'!$Z$8:$Z$321,MATCH('PY_OPEB Amounts'!A287,'[2]Change in Proportion Layers'!$A$8:$A$321,0))</f>
        <v>0</v>
      </c>
      <c r="G287" s="122">
        <f t="shared" si="13"/>
        <v>934903</v>
      </c>
      <c r="H287" s="122"/>
      <c r="I287" s="122">
        <f>ROUND(VLOOKUP(A287,'[2]Contribution Allocation_Report'!$A$9:$D$310,4,FALSE)*'PY_OPEB Amounts'!$I$323,0)</f>
        <v>694024</v>
      </c>
      <c r="J287" s="122">
        <f>ROUND(VLOOKUP(A287,'[2]Contribution Allocation_Report'!$A$9:$D$310,4,FALSE)*'PY_OPEB Amounts'!$J$323,0)</f>
        <v>124741</v>
      </c>
      <c r="K287" s="122">
        <f>ROUND(VLOOKUP(A287,'[2]Contribution Allocation_Report'!$A$9:$D$310,4,FALSE)*'PY_OPEB Amounts'!$K$323,0)</f>
        <v>1573336</v>
      </c>
      <c r="L287" s="131">
        <f>INDEX('[2]Change in Proportion Layers'!$AA$8:$AA$321,MATCH('PY_OPEB Amounts'!A287,'[2]Change in Proportion Layers'!$A$8:$A$321,0))</f>
        <v>168137</v>
      </c>
      <c r="M287" s="122">
        <f t="shared" si="14"/>
        <v>2560238</v>
      </c>
      <c r="N287" s="123"/>
      <c r="O287" s="123">
        <f>ROUND(VLOOKUP(A287,'[2]Contribution Allocation_Report'!$A$9:$D$310,4,FALSE)*'PY_OPEB Amounts'!$O$323,0)</f>
        <v>-468654</v>
      </c>
      <c r="P287" s="123">
        <f>INDEX('[2]Change in Proportion Layers'!$X$8:$X$321,MATCH('PY_OPEB Amounts'!A287,'[2]Change in Proportion Layers'!$A$8:$A$321,0))</f>
        <v>-71849</v>
      </c>
      <c r="Q287" s="123">
        <f t="shared" si="12"/>
        <v>-540503</v>
      </c>
    </row>
    <row r="288" spans="1:17" ht="12" customHeight="1">
      <c r="A288" s="164">
        <v>1315</v>
      </c>
      <c r="B288" s="168" t="s">
        <v>273</v>
      </c>
      <c r="C288" s="120">
        <f>ROUND(VLOOKUP(A288,'[2]Contribution Allocation_Report'!$A$9:$D$310,4,FALSE)*'PY_OPEB Amounts'!$C$323,0)</f>
        <v>2519750</v>
      </c>
      <c r="D288" s="120">
        <f>ROUND(VLOOKUP(A288,'[2]Contribution Allocation_Report'!$A$9:$D$310,4,FALSE)*'PY_OPEB Amounts'!$D$323,0)</f>
        <v>36842</v>
      </c>
      <c r="E288" s="120">
        <f>ROUND(VLOOKUP(A288,'[2]Contribution Allocation_Report'!$A$9:$D$310,4,FALSE)*'PY_OPEB Amounts'!$E$323,0)</f>
        <v>504477</v>
      </c>
      <c r="F288" s="120">
        <f>INDEX('[2]Change in Proportion Layers'!$Z$8:$Z$321,MATCH('PY_OPEB Amounts'!A288,'[2]Change in Proportion Layers'!$A$8:$A$321,0))</f>
        <v>736603</v>
      </c>
      <c r="G288" s="120">
        <f t="shared" si="13"/>
        <v>1277922</v>
      </c>
      <c r="H288" s="120"/>
      <c r="I288" s="120">
        <f>ROUND(VLOOKUP(A288,'[2]Contribution Allocation_Report'!$A$9:$D$310,4,FALSE)*'PY_OPEB Amounts'!$I$323,0)</f>
        <v>401848</v>
      </c>
      <c r="J288" s="120">
        <f>ROUND(VLOOKUP(A288,'[2]Contribution Allocation_Report'!$A$9:$D$310,4,FALSE)*'PY_OPEB Amounts'!$J$323,0)</f>
        <v>72226</v>
      </c>
      <c r="K288" s="120">
        <f>ROUND(VLOOKUP(A288,'[2]Contribution Allocation_Report'!$A$9:$D$310,4,FALSE)*'PY_OPEB Amounts'!$K$323,0)</f>
        <v>910979</v>
      </c>
      <c r="L288" s="130">
        <f>INDEX('[2]Change in Proportion Layers'!$AA$8:$AA$321,MATCH('PY_OPEB Amounts'!A288,'[2]Change in Proportion Layers'!$A$8:$A$321,0))</f>
        <v>0</v>
      </c>
      <c r="M288" s="120">
        <f t="shared" si="14"/>
        <v>1385053</v>
      </c>
      <c r="N288" s="121"/>
      <c r="O288" s="121">
        <f>ROUND(VLOOKUP(A288,'[2]Contribution Allocation_Report'!$A$9:$D$310,4,FALSE)*'PY_OPEB Amounts'!$O$323,0)</f>
        <v>-271356</v>
      </c>
      <c r="P288" s="121">
        <f>INDEX('[2]Change in Proportion Layers'!$X$8:$X$321,MATCH('PY_OPEB Amounts'!A288,'[2]Change in Proportion Layers'!$A$8:$A$321,0))</f>
        <v>224151</v>
      </c>
      <c r="Q288" s="121">
        <f t="shared" si="12"/>
        <v>-47205</v>
      </c>
    </row>
    <row r="289" spans="1:17" ht="12" customHeight="1">
      <c r="A289" s="166">
        <v>3340</v>
      </c>
      <c r="B289" s="167" t="s">
        <v>274</v>
      </c>
      <c r="C289" s="122">
        <f>ROUND(VLOOKUP(A289,'[2]Contribution Allocation_Report'!$A$9:$D$310,4,FALSE)*'PY_OPEB Amounts'!$C$323,0)</f>
        <v>1125629</v>
      </c>
      <c r="D289" s="122">
        <f>ROUND(VLOOKUP(A289,'[2]Contribution Allocation_Report'!$A$9:$D$310,4,FALSE)*'PY_OPEB Amounts'!$D$323,0)</f>
        <v>16458</v>
      </c>
      <c r="E289" s="122">
        <f>ROUND(VLOOKUP(A289,'[2]Contribution Allocation_Report'!$A$9:$D$310,4,FALSE)*'PY_OPEB Amounts'!$E$323,0)</f>
        <v>225361</v>
      </c>
      <c r="F289" s="122">
        <f>INDEX('[2]Change in Proportion Layers'!$Z$8:$Z$321,MATCH('PY_OPEB Amounts'!A289,'[2]Change in Proportion Layers'!$A$8:$A$321,0))</f>
        <v>113371</v>
      </c>
      <c r="G289" s="122">
        <f t="shared" si="13"/>
        <v>355190</v>
      </c>
      <c r="H289" s="122"/>
      <c r="I289" s="122">
        <f>ROUND(VLOOKUP(A289,'[2]Contribution Allocation_Report'!$A$9:$D$310,4,FALSE)*'PY_OPEB Amounts'!$I$323,0)</f>
        <v>179514</v>
      </c>
      <c r="J289" s="122">
        <f>ROUND(VLOOKUP(A289,'[2]Contribution Allocation_Report'!$A$9:$D$310,4,FALSE)*'PY_OPEB Amounts'!$J$323,0)</f>
        <v>32265</v>
      </c>
      <c r="K289" s="122">
        <f>ROUND(VLOOKUP(A289,'[2]Contribution Allocation_Report'!$A$9:$D$310,4,FALSE)*'PY_OPEB Amounts'!$K$323,0)</f>
        <v>406955</v>
      </c>
      <c r="L289" s="122">
        <f>INDEX('[2]Change in Proportion Layers'!$AA$8:$AA$321,MATCH('PY_OPEB Amounts'!A289,'[2]Change in Proportion Layers'!$A$8:$A$321,0))</f>
        <v>160426</v>
      </c>
      <c r="M289" s="122">
        <f t="shared" si="14"/>
        <v>779160</v>
      </c>
      <c r="N289" s="123"/>
      <c r="O289" s="123">
        <f>ROUND(VLOOKUP(A289,'[2]Contribution Allocation_Report'!$A$9:$D$310,4,FALSE)*'PY_OPEB Amounts'!$O$323,0)</f>
        <v>-121221</v>
      </c>
      <c r="P289" s="123">
        <f>INDEX('[2]Change in Proportion Layers'!$X$8:$X$321,MATCH('PY_OPEB Amounts'!A289,'[2]Change in Proportion Layers'!$A$8:$A$321,0))</f>
        <v>-19995</v>
      </c>
      <c r="Q289" s="123">
        <f t="shared" si="12"/>
        <v>-141216</v>
      </c>
    </row>
    <row r="290" spans="1:17" ht="12" customHeight="1">
      <c r="A290" s="164">
        <v>3350</v>
      </c>
      <c r="B290" s="168" t="s">
        <v>275</v>
      </c>
      <c r="C290" s="120">
        <f>ROUND(VLOOKUP(A290,'[2]Contribution Allocation_Report'!$A$9:$D$310,4,FALSE)*'PY_OPEB Amounts'!$C$323,0)</f>
        <v>5601491</v>
      </c>
      <c r="D290" s="120">
        <f>ROUND(VLOOKUP(A290,'[2]Contribution Allocation_Report'!$A$9:$D$310,4,FALSE)*'PY_OPEB Amounts'!$D$323,0)</f>
        <v>81901</v>
      </c>
      <c r="E290" s="120">
        <f>ROUND(VLOOKUP(A290,'[2]Contribution Allocation_Report'!$A$9:$D$310,4,FALSE)*'PY_OPEB Amounts'!$E$323,0)</f>
        <v>1121470</v>
      </c>
      <c r="F290" s="120">
        <f>INDEX('[2]Change in Proportion Layers'!$Z$8:$Z$321,MATCH('PY_OPEB Amounts'!A290,'[2]Change in Proportion Layers'!$A$8:$A$321,0))</f>
        <v>46001</v>
      </c>
      <c r="G290" s="120">
        <f t="shared" si="13"/>
        <v>1249372</v>
      </c>
      <c r="H290" s="120"/>
      <c r="I290" s="120">
        <f>ROUND(VLOOKUP(A290,'[2]Contribution Allocation_Report'!$A$9:$D$310,4,FALSE)*'PY_OPEB Amounts'!$I$323,0)</f>
        <v>893321</v>
      </c>
      <c r="J290" s="120">
        <f>ROUND(VLOOKUP(A290,'[2]Contribution Allocation_Report'!$A$9:$D$310,4,FALSE)*'PY_OPEB Amounts'!$J$323,0)</f>
        <v>160562</v>
      </c>
      <c r="K290" s="120">
        <f>ROUND(VLOOKUP(A290,'[2]Contribution Allocation_Report'!$A$9:$D$310,4,FALSE)*'PY_OPEB Amounts'!$K$323,0)</f>
        <v>2025138</v>
      </c>
      <c r="L290" s="120">
        <f>INDEX('[2]Change in Proportion Layers'!$AA$8:$AA$321,MATCH('PY_OPEB Amounts'!A290,'[2]Change in Proportion Layers'!$A$8:$A$321,0))</f>
        <v>2144105</v>
      </c>
      <c r="M290" s="120">
        <f t="shared" si="14"/>
        <v>5223126</v>
      </c>
      <c r="N290" s="121"/>
      <c r="O290" s="121">
        <f>ROUND(VLOOKUP(A290,'[2]Contribution Allocation_Report'!$A$9:$D$310,4,FALSE)*'PY_OPEB Amounts'!$O$323,0)</f>
        <v>-603234</v>
      </c>
      <c r="P290" s="121">
        <f>INDEX('[2]Change in Proportion Layers'!$X$8:$X$321,MATCH('PY_OPEB Amounts'!A290,'[2]Change in Proportion Layers'!$A$8:$A$321,0))</f>
        <v>-513856</v>
      </c>
      <c r="Q290" s="121">
        <f t="shared" si="12"/>
        <v>-1117090</v>
      </c>
    </row>
    <row r="291" spans="1:17" ht="12" customHeight="1">
      <c r="A291" s="166">
        <v>24073</v>
      </c>
      <c r="B291" s="167" t="s">
        <v>276</v>
      </c>
      <c r="C291" s="122">
        <f>ROUND(VLOOKUP(A291,'[2]Contribution Allocation_Report'!$A$9:$D$310,4,FALSE)*'PY_OPEB Amounts'!$C$323,0)</f>
        <v>783761</v>
      </c>
      <c r="D291" s="122">
        <f>ROUND(VLOOKUP(A291,'[2]Contribution Allocation_Report'!$A$9:$D$310,4,FALSE)*'PY_OPEB Amounts'!$D$323,0)</f>
        <v>11460</v>
      </c>
      <c r="E291" s="122">
        <f>ROUND(VLOOKUP(A291,'[2]Contribution Allocation_Report'!$A$9:$D$310,4,FALSE)*'PY_OPEB Amounts'!$E$323,0)</f>
        <v>156916</v>
      </c>
      <c r="F291" s="122">
        <f>INDEX('[2]Change in Proportion Layers'!$Z$8:$Z$321,MATCH('PY_OPEB Amounts'!A291,'[2]Change in Proportion Layers'!$A$8:$A$321,0))</f>
        <v>85497</v>
      </c>
      <c r="G291" s="122">
        <f t="shared" si="13"/>
        <v>253873</v>
      </c>
      <c r="H291" s="122"/>
      <c r="I291" s="122">
        <f>ROUND(VLOOKUP(A291,'[2]Contribution Allocation_Report'!$A$9:$D$310,4,FALSE)*'PY_OPEB Amounts'!$I$323,0)</f>
        <v>124994</v>
      </c>
      <c r="J291" s="122">
        <f>ROUND(VLOOKUP(A291,'[2]Contribution Allocation_Report'!$A$9:$D$310,4,FALSE)*'PY_OPEB Amounts'!$J$323,0)</f>
        <v>22466</v>
      </c>
      <c r="K291" s="122">
        <f>ROUND(VLOOKUP(A291,'[2]Contribution Allocation_Report'!$A$9:$D$310,4,FALSE)*'PY_OPEB Amounts'!$K$323,0)</f>
        <v>283358</v>
      </c>
      <c r="L291" s="122">
        <f>INDEX('[2]Change in Proportion Layers'!$AA$8:$AA$321,MATCH('PY_OPEB Amounts'!A291,'[2]Change in Proportion Layers'!$A$8:$A$321,0))</f>
        <v>31281</v>
      </c>
      <c r="M291" s="122">
        <f t="shared" si="14"/>
        <v>462099</v>
      </c>
      <c r="N291" s="123"/>
      <c r="O291" s="123">
        <f>ROUND(VLOOKUP(A291,'[2]Contribution Allocation_Report'!$A$9:$D$310,4,FALSE)*'PY_OPEB Amounts'!$O$323,0)</f>
        <v>-84405</v>
      </c>
      <c r="P291" s="123">
        <f>INDEX('[2]Change in Proportion Layers'!$X$8:$X$321,MATCH('PY_OPEB Amounts'!A291,'[2]Change in Proportion Layers'!$A$8:$A$321,0))</f>
        <v>3451</v>
      </c>
      <c r="Q291" s="123">
        <f t="shared" si="12"/>
        <v>-80954</v>
      </c>
    </row>
    <row r="292" spans="1:17" ht="12" customHeight="1">
      <c r="A292" s="164">
        <v>2100</v>
      </c>
      <c r="B292" s="168" t="s">
        <v>277</v>
      </c>
      <c r="C292" s="120">
        <f>ROUND(VLOOKUP(A292,'[2]Contribution Allocation_Report'!$A$9:$D$310,4,FALSE)*'PY_OPEB Amounts'!$C$323,0)</f>
        <v>950582</v>
      </c>
      <c r="D292" s="120">
        <f>ROUND(VLOOKUP(A292,'[2]Contribution Allocation_Report'!$A$9:$D$310,4,FALSE)*'PY_OPEB Amounts'!$D$323,0)</f>
        <v>13899</v>
      </c>
      <c r="E292" s="120">
        <f>ROUND(VLOOKUP(A292,'[2]Contribution Allocation_Report'!$A$9:$D$310,4,FALSE)*'PY_OPEB Amounts'!$E$323,0)</f>
        <v>190315</v>
      </c>
      <c r="F292" s="120">
        <f>INDEX('[2]Change in Proportion Layers'!$Z$8:$Z$321,MATCH('PY_OPEB Amounts'!A292,'[2]Change in Proportion Layers'!$A$8:$A$321,0))</f>
        <v>45603</v>
      </c>
      <c r="G292" s="120">
        <f t="shared" si="13"/>
        <v>249817</v>
      </c>
      <c r="H292" s="120"/>
      <c r="I292" s="120">
        <f>ROUND(VLOOKUP(A292,'[2]Contribution Allocation_Report'!$A$9:$D$310,4,FALSE)*'PY_OPEB Amounts'!$I$323,0)</f>
        <v>151598</v>
      </c>
      <c r="J292" s="120">
        <f>ROUND(VLOOKUP(A292,'[2]Contribution Allocation_Report'!$A$9:$D$310,4,FALSE)*'PY_OPEB Amounts'!$J$323,0)</f>
        <v>27248</v>
      </c>
      <c r="K292" s="120">
        <f>ROUND(VLOOKUP(A292,'[2]Contribution Allocation_Report'!$A$9:$D$310,4,FALSE)*'PY_OPEB Amounts'!$K$323,0)</f>
        <v>343669</v>
      </c>
      <c r="L292" s="120">
        <f>INDEX('[2]Change in Proportion Layers'!$AA$8:$AA$321,MATCH('PY_OPEB Amounts'!A292,'[2]Change in Proportion Layers'!$A$8:$A$321,0))</f>
        <v>65673</v>
      </c>
      <c r="M292" s="120">
        <f t="shared" si="14"/>
        <v>588188</v>
      </c>
      <c r="N292" s="121"/>
      <c r="O292" s="121">
        <f>ROUND(VLOOKUP(A292,'[2]Contribution Allocation_Report'!$A$9:$D$310,4,FALSE)*'PY_OPEB Amounts'!$O$323,0)</f>
        <v>-102370</v>
      </c>
      <c r="P292" s="121">
        <f>INDEX('[2]Change in Proportion Layers'!$X$8:$X$321,MATCH('PY_OPEB Amounts'!A292,'[2]Change in Proportion Layers'!$A$8:$A$321,0))</f>
        <v>-2168</v>
      </c>
      <c r="Q292" s="121">
        <f t="shared" si="12"/>
        <v>-104538</v>
      </c>
    </row>
    <row r="293" spans="1:17" ht="12" customHeight="1">
      <c r="A293" s="166">
        <v>2130</v>
      </c>
      <c r="B293" s="167" t="s">
        <v>278</v>
      </c>
      <c r="C293" s="122">
        <f>ROUND(VLOOKUP(A293,'[2]Contribution Allocation_Report'!$A$9:$D$310,4,FALSE)*'PY_OPEB Amounts'!$C$323,0)</f>
        <v>312254</v>
      </c>
      <c r="D293" s="122">
        <f>ROUND(VLOOKUP(A293,'[2]Contribution Allocation_Report'!$A$9:$D$310,4,FALSE)*'PY_OPEB Amounts'!$D$323,0)</f>
        <v>4566</v>
      </c>
      <c r="E293" s="122">
        <f>ROUND(VLOOKUP(A293,'[2]Contribution Allocation_Report'!$A$9:$D$310,4,FALSE)*'PY_OPEB Amounts'!$E$323,0)</f>
        <v>62516</v>
      </c>
      <c r="F293" s="122">
        <f>INDEX('[2]Change in Proportion Layers'!$Z$8:$Z$321,MATCH('PY_OPEB Amounts'!A293,'[2]Change in Proportion Layers'!$A$8:$A$321,0))</f>
        <v>38333</v>
      </c>
      <c r="G293" s="122">
        <f t="shared" si="13"/>
        <v>105415</v>
      </c>
      <c r="H293" s="122"/>
      <c r="I293" s="122">
        <f>ROUND(VLOOKUP(A293,'[2]Contribution Allocation_Report'!$A$9:$D$310,4,FALSE)*'PY_OPEB Amounts'!$I$323,0)</f>
        <v>49798</v>
      </c>
      <c r="J293" s="122">
        <f>ROUND(VLOOKUP(A293,'[2]Contribution Allocation_Report'!$A$9:$D$310,4,FALSE)*'PY_OPEB Amounts'!$J$323,0)</f>
        <v>8951</v>
      </c>
      <c r="K293" s="122">
        <f>ROUND(VLOOKUP(A293,'[2]Contribution Allocation_Report'!$A$9:$D$310,4,FALSE)*'PY_OPEB Amounts'!$K$323,0)</f>
        <v>112891</v>
      </c>
      <c r="L293" s="131">
        <f>INDEX('[2]Change in Proportion Layers'!$AA$8:$AA$321,MATCH('PY_OPEB Amounts'!A293,'[2]Change in Proportion Layers'!$A$8:$A$321,0))</f>
        <v>57990</v>
      </c>
      <c r="M293" s="122">
        <f t="shared" si="14"/>
        <v>229630</v>
      </c>
      <c r="N293" s="123"/>
      <c r="O293" s="123">
        <f>ROUND(VLOOKUP(A293,'[2]Contribution Allocation_Report'!$A$9:$D$310,4,FALSE)*'PY_OPEB Amounts'!$O$323,0)</f>
        <v>-33627</v>
      </c>
      <c r="P293" s="123">
        <f>INDEX('[2]Change in Proportion Layers'!$X$8:$X$321,MATCH('PY_OPEB Amounts'!A293,'[2]Change in Proportion Layers'!$A$8:$A$321,0))</f>
        <v>-1279</v>
      </c>
      <c r="Q293" s="123">
        <f t="shared" si="12"/>
        <v>-34906</v>
      </c>
    </row>
    <row r="294" spans="1:17" ht="12" customHeight="1">
      <c r="A294" s="164">
        <v>32099</v>
      </c>
      <c r="B294" s="168" t="s">
        <v>279</v>
      </c>
      <c r="C294" s="120">
        <f>ROUND(VLOOKUP(A294,'[2]Contribution Allocation_Report'!$A$9:$D$310,4,FALSE)*'PY_OPEB Amounts'!$C$323,0)</f>
        <v>313241</v>
      </c>
      <c r="D294" s="120">
        <f>ROUND(VLOOKUP(A294,'[2]Contribution Allocation_Report'!$A$9:$D$310,4,FALSE)*'PY_OPEB Amounts'!$D$323,0)</f>
        <v>4580</v>
      </c>
      <c r="E294" s="120">
        <f>ROUND(VLOOKUP(A294,'[2]Contribution Allocation_Report'!$A$9:$D$310,4,FALSE)*'PY_OPEB Amounts'!$E$323,0)</f>
        <v>62714</v>
      </c>
      <c r="F294" s="120">
        <f>INDEX('[2]Change in Proportion Layers'!$Z$8:$Z$321,MATCH('PY_OPEB Amounts'!A294,'[2]Change in Proportion Layers'!$A$8:$A$321,0))</f>
        <v>9680</v>
      </c>
      <c r="G294" s="120">
        <f t="shared" si="13"/>
        <v>76974</v>
      </c>
      <c r="H294" s="120"/>
      <c r="I294" s="120">
        <f>ROUND(VLOOKUP(A294,'[2]Contribution Allocation_Report'!$A$9:$D$310,4,FALSE)*'PY_OPEB Amounts'!$I$323,0)</f>
        <v>49955</v>
      </c>
      <c r="J294" s="120">
        <f>ROUND(VLOOKUP(A294,'[2]Contribution Allocation_Report'!$A$9:$D$310,4,FALSE)*'PY_OPEB Amounts'!$J$323,0)</f>
        <v>8979</v>
      </c>
      <c r="K294" s="120">
        <f>ROUND(VLOOKUP(A294,'[2]Contribution Allocation_Report'!$A$9:$D$310,4,FALSE)*'PY_OPEB Amounts'!$K$323,0)</f>
        <v>113248</v>
      </c>
      <c r="L294" s="130">
        <f>INDEX('[2]Change in Proportion Layers'!$AA$8:$AA$321,MATCH('PY_OPEB Amounts'!A294,'[2]Change in Proportion Layers'!$A$8:$A$321,0))</f>
        <v>86773</v>
      </c>
      <c r="M294" s="120">
        <f t="shared" si="14"/>
        <v>258955</v>
      </c>
      <c r="N294" s="121"/>
      <c r="O294" s="121">
        <f>ROUND(VLOOKUP(A294,'[2]Contribution Allocation_Report'!$A$9:$D$310,4,FALSE)*'PY_OPEB Amounts'!$O$323,0)</f>
        <v>-33733</v>
      </c>
      <c r="P294" s="121">
        <f>INDEX('[2]Change in Proportion Layers'!$X$8:$X$321,MATCH('PY_OPEB Amounts'!A294,'[2]Change in Proportion Layers'!$A$8:$A$321,0))</f>
        <v>-23799</v>
      </c>
      <c r="Q294" s="121">
        <f t="shared" si="12"/>
        <v>-57532</v>
      </c>
    </row>
    <row r="295" spans="1:17" ht="12" customHeight="1">
      <c r="A295" s="166">
        <v>32100</v>
      </c>
      <c r="B295" s="167" t="s">
        <v>280</v>
      </c>
      <c r="C295" s="122">
        <f>ROUND(VLOOKUP(A295,'[2]Contribution Allocation_Report'!$A$9:$D$310,4,FALSE)*'PY_OPEB Amounts'!$C$323,0)</f>
        <v>694264</v>
      </c>
      <c r="D295" s="122">
        <f>ROUND(VLOOKUP(A295,'[2]Contribution Allocation_Report'!$A$9:$D$310,4,FALSE)*'PY_OPEB Amounts'!$D$323,0)</f>
        <v>10151</v>
      </c>
      <c r="E295" s="122">
        <f>ROUND(VLOOKUP(A295,'[2]Contribution Allocation_Report'!$A$9:$D$310,4,FALSE)*'PY_OPEB Amounts'!$E$323,0)</f>
        <v>138998</v>
      </c>
      <c r="F295" s="122">
        <f>INDEX('[2]Change in Proportion Layers'!$Z$8:$Z$321,MATCH('PY_OPEB Amounts'!A295,'[2]Change in Proportion Layers'!$A$8:$A$321,0))</f>
        <v>105715</v>
      </c>
      <c r="G295" s="122">
        <f t="shared" si="13"/>
        <v>254864</v>
      </c>
      <c r="H295" s="122"/>
      <c r="I295" s="122">
        <f>ROUND(VLOOKUP(A295,'[2]Contribution Allocation_Report'!$A$9:$D$310,4,FALSE)*'PY_OPEB Amounts'!$I$323,0)</f>
        <v>110721</v>
      </c>
      <c r="J295" s="122">
        <f>ROUND(VLOOKUP(A295,'[2]Contribution Allocation_Report'!$A$9:$D$310,4,FALSE)*'PY_OPEB Amounts'!$J$323,0)</f>
        <v>19900</v>
      </c>
      <c r="K295" s="122">
        <f>ROUND(VLOOKUP(A295,'[2]Contribution Allocation_Report'!$A$9:$D$310,4,FALSE)*'PY_OPEB Amounts'!$K$323,0)</f>
        <v>251001</v>
      </c>
      <c r="L295" s="131">
        <f>INDEX('[2]Change in Proportion Layers'!$AA$8:$AA$321,MATCH('PY_OPEB Amounts'!A295,'[2]Change in Proportion Layers'!$A$8:$A$321,0))</f>
        <v>64251</v>
      </c>
      <c r="M295" s="122">
        <f t="shared" si="14"/>
        <v>445873</v>
      </c>
      <c r="N295" s="123"/>
      <c r="O295" s="123">
        <f>ROUND(VLOOKUP(A295,'[2]Contribution Allocation_Report'!$A$9:$D$310,4,FALSE)*'PY_OPEB Amounts'!$O$323,0)</f>
        <v>-74766</v>
      </c>
      <c r="P295" s="123">
        <f>INDEX('[2]Change in Proportion Layers'!$X$8:$X$321,MATCH('PY_OPEB Amounts'!A295,'[2]Change in Proportion Layers'!$A$8:$A$321,0))</f>
        <v>22988</v>
      </c>
      <c r="Q295" s="123">
        <f t="shared" si="12"/>
        <v>-51778</v>
      </c>
    </row>
    <row r="296" spans="1:17" ht="12" customHeight="1">
      <c r="A296" s="164">
        <v>32101</v>
      </c>
      <c r="B296" s="168" t="s">
        <v>281</v>
      </c>
      <c r="C296" s="120">
        <f>ROUND(VLOOKUP(A296,'[2]Contribution Allocation_Report'!$A$9:$D$310,4,FALSE)*'PY_OPEB Amounts'!$C$323,0)</f>
        <v>34220</v>
      </c>
      <c r="D296" s="120">
        <f>ROUND(VLOOKUP(A296,'[2]Contribution Allocation_Report'!$A$9:$D$310,4,FALSE)*'PY_OPEB Amounts'!$D$323,0)</f>
        <v>500</v>
      </c>
      <c r="E296" s="120">
        <f>ROUND(VLOOKUP(A296,'[2]Contribution Allocation_Report'!$A$9:$D$310,4,FALSE)*'PY_OPEB Amounts'!$E$323,0)</f>
        <v>6851</v>
      </c>
      <c r="F296" s="120">
        <f>INDEX('[2]Change in Proportion Layers'!$Z$8:$Z$321,MATCH('PY_OPEB Amounts'!A296,'[2]Change in Proportion Layers'!$A$8:$A$321,0))</f>
        <v>14344</v>
      </c>
      <c r="G296" s="120">
        <f t="shared" si="13"/>
        <v>21695</v>
      </c>
      <c r="H296" s="120"/>
      <c r="I296" s="120">
        <f>ROUND(VLOOKUP(A296,'[2]Contribution Allocation_Report'!$A$9:$D$310,4,FALSE)*'PY_OPEB Amounts'!$I$323,0)</f>
        <v>5457</v>
      </c>
      <c r="J296" s="120">
        <f>ROUND(VLOOKUP(A296,'[2]Contribution Allocation_Report'!$A$9:$D$310,4,FALSE)*'PY_OPEB Amounts'!$J$323,0)</f>
        <v>981</v>
      </c>
      <c r="K296" s="120">
        <f>ROUND(VLOOKUP(A296,'[2]Contribution Allocation_Report'!$A$9:$D$310,4,FALSE)*'PY_OPEB Amounts'!$K$323,0)</f>
        <v>12372</v>
      </c>
      <c r="L296" s="130">
        <f>INDEX('[2]Change in Proportion Layers'!$AA$8:$AA$321,MATCH('PY_OPEB Amounts'!A296,'[2]Change in Proportion Layers'!$A$8:$A$321,0))</f>
        <v>239113</v>
      </c>
      <c r="M296" s="120">
        <f t="shared" si="14"/>
        <v>257923</v>
      </c>
      <c r="N296" s="121"/>
      <c r="O296" s="121">
        <f>ROUND(VLOOKUP(A296,'[2]Contribution Allocation_Report'!$A$9:$D$310,4,FALSE)*'PY_OPEB Amounts'!$O$323,0)</f>
        <v>-3685</v>
      </c>
      <c r="P296" s="121">
        <f>INDEX('[2]Change in Proportion Layers'!$X$8:$X$321,MATCH('PY_OPEB Amounts'!A296,'[2]Change in Proportion Layers'!$A$8:$A$321,0))</f>
        <v>-47061</v>
      </c>
      <c r="Q296" s="121">
        <f t="shared" si="12"/>
        <v>-50746</v>
      </c>
    </row>
    <row r="297" spans="1:17" ht="12" customHeight="1">
      <c r="A297" s="166">
        <v>32102</v>
      </c>
      <c r="B297" s="167" t="s">
        <v>282</v>
      </c>
      <c r="C297" s="122">
        <f>ROUND(VLOOKUP(A297,'[2]Contribution Allocation_Report'!$A$9:$D$310,4,FALSE)*'PY_OPEB Amounts'!$C$323,0)</f>
        <v>413268</v>
      </c>
      <c r="D297" s="122">
        <f>ROUND(VLOOKUP(A297,'[2]Contribution Allocation_Report'!$A$9:$D$310,4,FALSE)*'PY_OPEB Amounts'!$D$323,0)</f>
        <v>6043</v>
      </c>
      <c r="E297" s="122">
        <f>ROUND(VLOOKUP(A297,'[2]Contribution Allocation_Report'!$A$9:$D$310,4,FALSE)*'PY_OPEB Amounts'!$E$323,0)</f>
        <v>82740</v>
      </c>
      <c r="F297" s="122">
        <f>INDEX('[2]Change in Proportion Layers'!$Z$8:$Z$321,MATCH('PY_OPEB Amounts'!A297,'[2]Change in Proportion Layers'!$A$8:$A$321,0))</f>
        <v>39851</v>
      </c>
      <c r="G297" s="122">
        <f t="shared" si="13"/>
        <v>128634</v>
      </c>
      <c r="H297" s="122"/>
      <c r="I297" s="122">
        <f>ROUND(VLOOKUP(A297,'[2]Contribution Allocation_Report'!$A$9:$D$310,4,FALSE)*'PY_OPEB Amounts'!$I$323,0)</f>
        <v>65908</v>
      </c>
      <c r="J297" s="122">
        <f>ROUND(VLOOKUP(A297,'[2]Contribution Allocation_Report'!$A$9:$D$310,4,FALSE)*'PY_OPEB Amounts'!$J$323,0)</f>
        <v>11846</v>
      </c>
      <c r="K297" s="122">
        <f>ROUND(VLOOKUP(A297,'[2]Contribution Allocation_Report'!$A$9:$D$310,4,FALSE)*'PY_OPEB Amounts'!$K$323,0)</f>
        <v>149411</v>
      </c>
      <c r="L297" s="131">
        <f>INDEX('[2]Change in Proportion Layers'!$AA$8:$AA$321,MATCH('PY_OPEB Amounts'!A297,'[2]Change in Proportion Layers'!$A$8:$A$321,0))</f>
        <v>38755</v>
      </c>
      <c r="M297" s="122">
        <f t="shared" si="14"/>
        <v>265920</v>
      </c>
      <c r="N297" s="123"/>
      <c r="O297" s="123">
        <f>ROUND(VLOOKUP(A297,'[2]Contribution Allocation_Report'!$A$9:$D$310,4,FALSE)*'PY_OPEB Amounts'!$O$323,0)</f>
        <v>-44505</v>
      </c>
      <c r="P297" s="123">
        <f>INDEX('[2]Change in Proportion Layers'!$X$8:$X$321,MATCH('PY_OPEB Amounts'!A297,'[2]Change in Proportion Layers'!$A$8:$A$321,0))</f>
        <v>-6484</v>
      </c>
      <c r="Q297" s="123">
        <f t="shared" si="12"/>
        <v>-50989</v>
      </c>
    </row>
    <row r="298" spans="1:17" ht="12" customHeight="1">
      <c r="A298" s="164">
        <v>2880</v>
      </c>
      <c r="B298" s="165" t="s">
        <v>283</v>
      </c>
      <c r="C298" s="126">
        <f>ROUND(VLOOKUP(A298,'[2]Contribution Allocation_Report'!$A$9:$D$310,4,FALSE)*'PY_OPEB Amounts'!$C$323,0)</f>
        <v>139840</v>
      </c>
      <c r="D298" s="126">
        <f>ROUND(VLOOKUP(A298,'[2]Contribution Allocation_Report'!$A$9:$D$310,4,FALSE)*'PY_OPEB Amounts'!$D$323,0)</f>
        <v>2045</v>
      </c>
      <c r="E298" s="126">
        <f>ROUND(VLOOKUP(A298,'[2]Contribution Allocation_Report'!$A$9:$D$310,4,FALSE)*'PY_OPEB Amounts'!$E$323,0)</f>
        <v>27997</v>
      </c>
      <c r="F298" s="126">
        <f>INDEX('[2]Change in Proportion Layers'!$Z$8:$Z$321,MATCH('PY_OPEB Amounts'!A298,'[2]Change in Proportion Layers'!$A$8:$A$321,0))</f>
        <v>36224</v>
      </c>
      <c r="G298" s="126">
        <f t="shared" si="13"/>
        <v>66266</v>
      </c>
      <c r="H298" s="126"/>
      <c r="I298" s="126">
        <f>ROUND(VLOOKUP(A298,'[2]Contribution Allocation_Report'!$A$9:$D$310,4,FALSE)*'PY_OPEB Amounts'!$I$323,0)</f>
        <v>22302</v>
      </c>
      <c r="J298" s="126">
        <f>ROUND(VLOOKUP(A298,'[2]Contribution Allocation_Report'!$A$9:$D$310,4,FALSE)*'PY_OPEB Amounts'!$J$323,0)</f>
        <v>4008</v>
      </c>
      <c r="K298" s="126">
        <f>ROUND(VLOOKUP(A298,'[2]Contribution Allocation_Report'!$A$9:$D$310,4,FALSE)*'PY_OPEB Amounts'!$K$323,0)</f>
        <v>50557</v>
      </c>
      <c r="L298" s="128">
        <f>INDEX('[2]Change in Proportion Layers'!$AA$8:$AA$321,MATCH('PY_OPEB Amounts'!A298,'[2]Change in Proportion Layers'!$A$8:$A$321,0))</f>
        <v>14002</v>
      </c>
      <c r="M298" s="126">
        <f t="shared" si="14"/>
        <v>90869</v>
      </c>
      <c r="N298" s="127"/>
      <c r="O298" s="127">
        <f>ROUND(VLOOKUP(A298,'[2]Contribution Allocation_Report'!$A$9:$D$310,4,FALSE)*'PY_OPEB Amounts'!$O$323,0)</f>
        <v>-15060</v>
      </c>
      <c r="P298" s="127">
        <f>INDEX('[2]Change in Proportion Layers'!$X$8:$X$321,MATCH('PY_OPEB Amounts'!A298,'[2]Change in Proportion Layers'!$A$8:$A$321,0))</f>
        <v>5558</v>
      </c>
      <c r="Q298" s="127">
        <f t="shared" si="12"/>
        <v>-9502</v>
      </c>
    </row>
    <row r="299" spans="1:17" ht="12" customHeight="1">
      <c r="A299" s="166">
        <v>2490</v>
      </c>
      <c r="B299" s="167" t="s">
        <v>284</v>
      </c>
      <c r="C299" s="122">
        <f>ROUND(VLOOKUP(A299,'[2]Contribution Allocation_Report'!$A$9:$D$310,4,FALSE)*'PY_OPEB Amounts'!$C$323,0)</f>
        <v>929853</v>
      </c>
      <c r="D299" s="122">
        <f>ROUND(VLOOKUP(A299,'[2]Contribution Allocation_Report'!$A$9:$D$310,4,FALSE)*'PY_OPEB Amounts'!$D$323,0)</f>
        <v>13596</v>
      </c>
      <c r="E299" s="122">
        <f>ROUND(VLOOKUP(A299,'[2]Contribution Allocation_Report'!$A$9:$D$310,4,FALSE)*'PY_OPEB Amounts'!$E$323,0)</f>
        <v>186165</v>
      </c>
      <c r="F299" s="122">
        <f>INDEX('[2]Change in Proportion Layers'!$Z$8:$Z$321,MATCH('PY_OPEB Amounts'!A299,'[2]Change in Proportion Layers'!$A$8:$A$321,0))</f>
        <v>61987</v>
      </c>
      <c r="G299" s="122">
        <f t="shared" si="13"/>
        <v>261748</v>
      </c>
      <c r="H299" s="122"/>
      <c r="I299" s="122">
        <f>ROUND(VLOOKUP(A299,'[2]Contribution Allocation_Report'!$A$9:$D$310,4,FALSE)*'PY_OPEB Amounts'!$I$323,0)</f>
        <v>148292</v>
      </c>
      <c r="J299" s="122">
        <f>ROUND(VLOOKUP(A299,'[2]Contribution Allocation_Report'!$A$9:$D$310,4,FALSE)*'PY_OPEB Amounts'!$J$323,0)</f>
        <v>26653</v>
      </c>
      <c r="K299" s="122">
        <f>ROUND(VLOOKUP(A299,'[2]Contribution Allocation_Report'!$A$9:$D$310,4,FALSE)*'PY_OPEB Amounts'!$K$323,0)</f>
        <v>336175</v>
      </c>
      <c r="L299" s="122">
        <f>INDEX('[2]Change in Proportion Layers'!$AA$8:$AA$321,MATCH('PY_OPEB Amounts'!A299,'[2]Change in Proportion Layers'!$A$8:$A$321,0))</f>
        <v>155501</v>
      </c>
      <c r="M299" s="122">
        <f t="shared" si="14"/>
        <v>666621</v>
      </c>
      <c r="N299" s="123"/>
      <c r="O299" s="123">
        <f>ROUND(VLOOKUP(A299,'[2]Contribution Allocation_Report'!$A$9:$D$310,4,FALSE)*'PY_OPEB Amounts'!$O$323,0)</f>
        <v>-100137</v>
      </c>
      <c r="P299" s="123">
        <f>INDEX('[2]Change in Proportion Layers'!$X$8:$X$321,MATCH('PY_OPEB Amounts'!A299,'[2]Change in Proportion Layers'!$A$8:$A$321,0))</f>
        <v>-16709</v>
      </c>
      <c r="Q299" s="123">
        <f t="shared" si="12"/>
        <v>-116846</v>
      </c>
    </row>
    <row r="300" spans="1:17" ht="12" customHeight="1">
      <c r="A300" s="164">
        <v>2530</v>
      </c>
      <c r="B300" s="168" t="s">
        <v>285</v>
      </c>
      <c r="C300" s="120">
        <f>ROUND(VLOOKUP(A300,'[2]Contribution Allocation_Report'!$A$9:$D$310,4,FALSE)*'PY_OPEB Amounts'!$C$323,0)</f>
        <v>100356</v>
      </c>
      <c r="D300" s="120">
        <f>ROUND(VLOOKUP(A300,'[2]Contribution Allocation_Report'!$A$9:$D$310,4,FALSE)*'PY_OPEB Amounts'!$D$323,0)</f>
        <v>1467</v>
      </c>
      <c r="E300" s="120">
        <f>ROUND(VLOOKUP(A300,'[2]Contribution Allocation_Report'!$A$9:$D$310,4,FALSE)*'PY_OPEB Amounts'!$E$323,0)</f>
        <v>20092</v>
      </c>
      <c r="F300" s="120">
        <f>INDEX('[2]Change in Proportion Layers'!$Z$8:$Z$321,MATCH('PY_OPEB Amounts'!A300,'[2]Change in Proportion Layers'!$A$8:$A$321,0))</f>
        <v>35089</v>
      </c>
      <c r="G300" s="120">
        <f t="shared" si="13"/>
        <v>56648</v>
      </c>
      <c r="H300" s="120"/>
      <c r="I300" s="120">
        <f>ROUND(VLOOKUP(A300,'[2]Contribution Allocation_Report'!$A$9:$D$310,4,FALSE)*'PY_OPEB Amounts'!$I$323,0)</f>
        <v>16005</v>
      </c>
      <c r="J300" s="120">
        <f>ROUND(VLOOKUP(A300,'[2]Contribution Allocation_Report'!$A$9:$D$310,4,FALSE)*'PY_OPEB Amounts'!$J$323,0)</f>
        <v>2877</v>
      </c>
      <c r="K300" s="120">
        <f>ROUND(VLOOKUP(A300,'[2]Contribution Allocation_Report'!$A$9:$D$310,4,FALSE)*'PY_OPEB Amounts'!$K$323,0)</f>
        <v>36282</v>
      </c>
      <c r="L300" s="120">
        <f>INDEX('[2]Change in Proportion Layers'!$AA$8:$AA$321,MATCH('PY_OPEB Amounts'!A300,'[2]Change in Proportion Layers'!$A$8:$A$321,0))</f>
        <v>196809</v>
      </c>
      <c r="M300" s="120">
        <f t="shared" si="14"/>
        <v>251973</v>
      </c>
      <c r="N300" s="121"/>
      <c r="O300" s="121">
        <f>ROUND(VLOOKUP(A300,'[2]Contribution Allocation_Report'!$A$9:$D$310,4,FALSE)*'PY_OPEB Amounts'!$O$323,0)</f>
        <v>-10807</v>
      </c>
      <c r="P300" s="121">
        <f>INDEX('[2]Change in Proportion Layers'!$X$8:$X$321,MATCH('PY_OPEB Amounts'!A300,'[2]Change in Proportion Layers'!$A$8:$A$321,0))</f>
        <v>-29438</v>
      </c>
      <c r="Q300" s="121">
        <f t="shared" si="12"/>
        <v>-40245</v>
      </c>
    </row>
    <row r="301" spans="1:17" ht="12" customHeight="1">
      <c r="A301" s="166">
        <v>2560</v>
      </c>
      <c r="B301" s="167" t="s">
        <v>286</v>
      </c>
      <c r="C301" s="122">
        <f>ROUND(VLOOKUP(A301,'[2]Contribution Allocation_Report'!$A$9:$D$310,4,FALSE)*'PY_OPEB Amounts'!$C$323,0)</f>
        <v>297777</v>
      </c>
      <c r="D301" s="122">
        <f>ROUND(VLOOKUP(A301,'[2]Contribution Allocation_Report'!$A$9:$D$310,4,FALSE)*'PY_OPEB Amounts'!$D$323,0)</f>
        <v>4354</v>
      </c>
      <c r="E301" s="122">
        <f>ROUND(VLOOKUP(A301,'[2]Contribution Allocation_Report'!$A$9:$D$310,4,FALSE)*'PY_OPEB Amounts'!$E$323,0)</f>
        <v>59618</v>
      </c>
      <c r="F301" s="122">
        <f>INDEX('[2]Change in Proportion Layers'!$Z$8:$Z$321,MATCH('PY_OPEB Amounts'!A301,'[2]Change in Proportion Layers'!$A$8:$A$321,0))</f>
        <v>39956</v>
      </c>
      <c r="G301" s="122">
        <f t="shared" si="13"/>
        <v>103928</v>
      </c>
      <c r="H301" s="122"/>
      <c r="I301" s="122">
        <f>ROUND(VLOOKUP(A301,'[2]Contribution Allocation_Report'!$A$9:$D$310,4,FALSE)*'PY_OPEB Amounts'!$I$323,0)</f>
        <v>47489</v>
      </c>
      <c r="J301" s="122">
        <f>ROUND(VLOOKUP(A301,'[2]Contribution Allocation_Report'!$A$9:$D$310,4,FALSE)*'PY_OPEB Amounts'!$J$323,0)</f>
        <v>8536</v>
      </c>
      <c r="K301" s="122">
        <f>ROUND(VLOOKUP(A301,'[2]Contribution Allocation_Report'!$A$9:$D$310,4,FALSE)*'PY_OPEB Amounts'!$K$323,0)</f>
        <v>107657</v>
      </c>
      <c r="L301" s="122">
        <f>INDEX('[2]Change in Proportion Layers'!$AA$8:$AA$321,MATCH('PY_OPEB Amounts'!A301,'[2]Change in Proportion Layers'!$A$8:$A$321,0))</f>
        <v>141300</v>
      </c>
      <c r="M301" s="122">
        <f t="shared" si="14"/>
        <v>304982</v>
      </c>
      <c r="N301" s="123"/>
      <c r="O301" s="123">
        <f>ROUND(VLOOKUP(A301,'[2]Contribution Allocation_Report'!$A$9:$D$310,4,FALSE)*'PY_OPEB Amounts'!$O$323,0)</f>
        <v>-32068</v>
      </c>
      <c r="P301" s="123">
        <f>INDEX('[2]Change in Proportion Layers'!$X$8:$X$321,MATCH('PY_OPEB Amounts'!A301,'[2]Change in Proportion Layers'!$A$8:$A$321,0))</f>
        <v>-23049</v>
      </c>
      <c r="Q301" s="123">
        <f t="shared" si="12"/>
        <v>-55117</v>
      </c>
    </row>
    <row r="302" spans="1:17" ht="12" customHeight="1">
      <c r="A302" s="164">
        <v>2610</v>
      </c>
      <c r="B302" s="168" t="s">
        <v>287</v>
      </c>
      <c r="C302" s="120">
        <f>ROUND(VLOOKUP(A302,'[2]Contribution Allocation_Report'!$A$9:$D$310,4,FALSE)*'PY_OPEB Amounts'!$C$323,0)</f>
        <v>114175</v>
      </c>
      <c r="D302" s="120">
        <f>ROUND(VLOOKUP(A302,'[2]Contribution Allocation_Report'!$A$9:$D$310,4,FALSE)*'PY_OPEB Amounts'!$D$323,0)</f>
        <v>1669</v>
      </c>
      <c r="E302" s="120">
        <f>ROUND(VLOOKUP(A302,'[2]Contribution Allocation_Report'!$A$9:$D$310,4,FALSE)*'PY_OPEB Amounts'!$E$323,0)</f>
        <v>22859</v>
      </c>
      <c r="F302" s="120">
        <f>INDEX('[2]Change in Proportion Layers'!$Z$8:$Z$321,MATCH('PY_OPEB Amounts'!A302,'[2]Change in Proportion Layers'!$A$8:$A$321,0))</f>
        <v>13695</v>
      </c>
      <c r="G302" s="120">
        <f t="shared" si="13"/>
        <v>38223</v>
      </c>
      <c r="H302" s="120"/>
      <c r="I302" s="120">
        <f>ROUND(VLOOKUP(A302,'[2]Contribution Allocation_Report'!$A$9:$D$310,4,FALSE)*'PY_OPEB Amounts'!$I$323,0)</f>
        <v>18209</v>
      </c>
      <c r="J302" s="120">
        <f>ROUND(VLOOKUP(A302,'[2]Contribution Allocation_Report'!$A$9:$D$310,4,FALSE)*'PY_OPEB Amounts'!$J$323,0)</f>
        <v>3273</v>
      </c>
      <c r="K302" s="120">
        <f>ROUND(VLOOKUP(A302,'[2]Contribution Allocation_Report'!$A$9:$D$310,4,FALSE)*'PY_OPEB Amounts'!$K$323,0)</f>
        <v>41278</v>
      </c>
      <c r="L302" s="120">
        <f>INDEX('[2]Change in Proportion Layers'!$AA$8:$AA$321,MATCH('PY_OPEB Amounts'!A302,'[2]Change in Proportion Layers'!$A$8:$A$321,0))</f>
        <v>14012</v>
      </c>
      <c r="M302" s="120">
        <f t="shared" si="14"/>
        <v>76772</v>
      </c>
      <c r="N302" s="121"/>
      <c r="O302" s="121">
        <f>ROUND(VLOOKUP(A302,'[2]Contribution Allocation_Report'!$A$9:$D$310,4,FALSE)*'PY_OPEB Amounts'!$O$323,0)</f>
        <v>-12296</v>
      </c>
      <c r="P302" s="121">
        <f>INDEX('[2]Change in Proportion Layers'!$X$8:$X$321,MATCH('PY_OPEB Amounts'!A302,'[2]Change in Proportion Layers'!$A$8:$A$321,0))</f>
        <v>1660</v>
      </c>
      <c r="Q302" s="121">
        <f t="shared" si="12"/>
        <v>-10636</v>
      </c>
    </row>
    <row r="303" spans="1:17" ht="12" customHeight="1">
      <c r="A303" s="166">
        <v>2800</v>
      </c>
      <c r="B303" s="167" t="s">
        <v>288</v>
      </c>
      <c r="C303" s="122">
        <f>ROUND(VLOOKUP(A303,'[2]Contribution Allocation_Report'!$A$9:$D$310,4,FALSE)*'PY_OPEB Amounts'!$C$323,0)</f>
        <v>288893</v>
      </c>
      <c r="D303" s="122">
        <f>ROUND(VLOOKUP(A303,'[2]Contribution Allocation_Report'!$A$9:$D$310,4,FALSE)*'PY_OPEB Amounts'!$D$323,0)</f>
        <v>4224</v>
      </c>
      <c r="E303" s="122">
        <f>ROUND(VLOOKUP(A303,'[2]Contribution Allocation_Report'!$A$9:$D$310,4,FALSE)*'PY_OPEB Amounts'!$E$323,0)</f>
        <v>57839</v>
      </c>
      <c r="F303" s="122">
        <f>INDEX('[2]Change in Proportion Layers'!$Z$8:$Z$321,MATCH('PY_OPEB Amounts'!A303,'[2]Change in Proportion Layers'!$A$8:$A$321,0))</f>
        <v>101213</v>
      </c>
      <c r="G303" s="122">
        <f t="shared" si="13"/>
        <v>163276</v>
      </c>
      <c r="H303" s="122"/>
      <c r="I303" s="122">
        <f>ROUND(VLOOKUP(A303,'[2]Contribution Allocation_Report'!$A$9:$D$310,4,FALSE)*'PY_OPEB Amounts'!$I$323,0)</f>
        <v>46072</v>
      </c>
      <c r="J303" s="122">
        <f>ROUND(VLOOKUP(A303,'[2]Contribution Allocation_Report'!$A$9:$D$310,4,FALSE)*'PY_OPEB Amounts'!$J$323,0)</f>
        <v>8281</v>
      </c>
      <c r="K303" s="122">
        <f>ROUND(VLOOKUP(A303,'[2]Contribution Allocation_Report'!$A$9:$D$310,4,FALSE)*'PY_OPEB Amounts'!$K$323,0)</f>
        <v>104445</v>
      </c>
      <c r="L303" s="122">
        <f>INDEX('[2]Change in Proportion Layers'!$AA$8:$AA$321,MATCH('PY_OPEB Amounts'!A303,'[2]Change in Proportion Layers'!$A$8:$A$321,0))</f>
        <v>7171</v>
      </c>
      <c r="M303" s="122">
        <f t="shared" si="14"/>
        <v>165969</v>
      </c>
      <c r="N303" s="123"/>
      <c r="O303" s="123">
        <f>ROUND(VLOOKUP(A303,'[2]Contribution Allocation_Report'!$A$9:$D$310,4,FALSE)*'PY_OPEB Amounts'!$O$323,0)</f>
        <v>-31111</v>
      </c>
      <c r="P303" s="123">
        <f>INDEX('[2]Change in Proportion Layers'!$X$8:$X$321,MATCH('PY_OPEB Amounts'!A303,'[2]Change in Proportion Layers'!$A$8:$A$321,0))</f>
        <v>30019</v>
      </c>
      <c r="Q303" s="123">
        <f t="shared" si="12"/>
        <v>-1092</v>
      </c>
    </row>
    <row r="304" spans="1:17" ht="12" customHeight="1">
      <c r="A304" s="164">
        <v>20317</v>
      </c>
      <c r="B304" s="168" t="s">
        <v>289</v>
      </c>
      <c r="C304" s="120">
        <f>ROUND(VLOOKUP(A304,'[2]Contribution Allocation_Report'!$A$9:$D$310,4,FALSE)*'PY_OPEB Amounts'!$C$323,0)</f>
        <v>479075</v>
      </c>
      <c r="D304" s="120">
        <f>ROUND(VLOOKUP(A304,'[2]Contribution Allocation_Report'!$A$9:$D$310,4,FALSE)*'PY_OPEB Amounts'!$D$323,0)</f>
        <v>7005</v>
      </c>
      <c r="E304" s="120">
        <f>ROUND(VLOOKUP(A304,'[2]Contribution Allocation_Report'!$A$9:$D$310,4,FALSE)*'PY_OPEB Amounts'!$E$323,0)</f>
        <v>95915</v>
      </c>
      <c r="F304" s="130">
        <f>INDEX('[2]Change in Proportion Layers'!$Z$8:$Z$321,MATCH('PY_OPEB Amounts'!A304,'[2]Change in Proportion Layers'!$A$8:$A$321,0))</f>
        <v>111064</v>
      </c>
      <c r="G304" s="120">
        <f t="shared" si="13"/>
        <v>213984</v>
      </c>
      <c r="H304" s="120"/>
      <c r="I304" s="120">
        <f>ROUND(VLOOKUP(A304,'[2]Contribution Allocation_Report'!$A$9:$D$310,4,FALSE)*'PY_OPEB Amounts'!$I$323,0)</f>
        <v>76402</v>
      </c>
      <c r="J304" s="120">
        <f>ROUND(VLOOKUP(A304,'[2]Contribution Allocation_Report'!$A$9:$D$310,4,FALSE)*'PY_OPEB Amounts'!$J$323,0)</f>
        <v>13732</v>
      </c>
      <c r="K304" s="120">
        <f>ROUND(VLOOKUP(A304,'[2]Contribution Allocation_Report'!$A$9:$D$310,4,FALSE)*'PY_OPEB Amounts'!$K$323,0)</f>
        <v>173203</v>
      </c>
      <c r="L304" s="120">
        <f>INDEX('[2]Change in Proportion Layers'!$AA$8:$AA$321,MATCH('PY_OPEB Amounts'!A304,'[2]Change in Proportion Layers'!$A$8:$A$321,0))</f>
        <v>153314</v>
      </c>
      <c r="M304" s="120">
        <f t="shared" si="14"/>
        <v>416651</v>
      </c>
      <c r="N304" s="121"/>
      <c r="O304" s="121">
        <f>ROUND(VLOOKUP(A304,'[2]Contribution Allocation_Report'!$A$9:$D$310,4,FALSE)*'PY_OPEB Amounts'!$O$323,0)</f>
        <v>-51592</v>
      </c>
      <c r="P304" s="121">
        <f>INDEX('[2]Change in Proportion Layers'!$X$8:$X$321,MATCH('PY_OPEB Amounts'!A304,'[2]Change in Proportion Layers'!$A$8:$A$321,0))</f>
        <v>-2974</v>
      </c>
      <c r="Q304" s="121">
        <f t="shared" si="12"/>
        <v>-54566</v>
      </c>
    </row>
    <row r="305" spans="1:17" ht="12" customHeight="1">
      <c r="A305" s="166">
        <v>2442</v>
      </c>
      <c r="B305" s="167" t="s">
        <v>444</v>
      </c>
      <c r="C305" s="122">
        <f>ROUND(VLOOKUP(A305,'[2]Contribution Allocation_Report'!$A$9:$D$310,4,FALSE)*'PY_OPEB Amounts'!$C$323,0)</f>
        <v>54949</v>
      </c>
      <c r="D305" s="122">
        <f>ROUND(VLOOKUP(A305,'[2]Contribution Allocation_Report'!$A$9:$D$310,4,FALSE)*'PY_OPEB Amounts'!$D$323,0)</f>
        <v>803</v>
      </c>
      <c r="E305" s="122">
        <f>ROUND(VLOOKUP(A305,'[2]Contribution Allocation_Report'!$A$9:$D$310,4,FALSE)*'PY_OPEB Amounts'!$E$323,0)</f>
        <v>11001</v>
      </c>
      <c r="F305" s="122">
        <f>INDEX('[2]Change in Proportion Layers'!$Z$8:$Z$321,MATCH('PY_OPEB Amounts'!A305,'[2]Change in Proportion Layers'!$A$8:$A$321,0))</f>
        <v>67356</v>
      </c>
      <c r="G305" s="122">
        <f t="shared" si="13"/>
        <v>79160</v>
      </c>
      <c r="H305" s="122"/>
      <c r="I305" s="122">
        <f>ROUND(VLOOKUP(A305,'[2]Contribution Allocation_Report'!$A$9:$D$310,4,FALSE)*'PY_OPEB Amounts'!$I$323,0)</f>
        <v>8763</v>
      </c>
      <c r="J305" s="122">
        <f>ROUND(VLOOKUP(A305,'[2]Contribution Allocation_Report'!$A$9:$D$310,4,FALSE)*'PY_OPEB Amounts'!$J$323,0)</f>
        <v>1575</v>
      </c>
      <c r="K305" s="122">
        <f>ROUND(VLOOKUP(A305,'[2]Contribution Allocation_Report'!$A$9:$D$310,4,FALSE)*'PY_OPEB Amounts'!$K$323,0)</f>
        <v>19866</v>
      </c>
      <c r="L305" s="131">
        <f>INDEX('[2]Change in Proportion Layers'!$AA$8:$AA$321,MATCH('PY_OPEB Amounts'!A305,'[2]Change in Proportion Layers'!$A$8:$A$321,0))</f>
        <v>0</v>
      </c>
      <c r="M305" s="122">
        <f t="shared" si="14"/>
        <v>30204</v>
      </c>
      <c r="N305" s="123"/>
      <c r="O305" s="123">
        <f>ROUND(VLOOKUP(A305,'[2]Contribution Allocation_Report'!$A$9:$D$310,4,FALSE)*'PY_OPEB Amounts'!$O$323,0)</f>
        <v>-5918</v>
      </c>
      <c r="P305" s="123">
        <f>INDEX('[2]Change in Proportion Layers'!$X$8:$X$321,MATCH('PY_OPEB Amounts'!A305,'[2]Change in Proportion Layers'!$A$8:$A$321,0))</f>
        <v>13525</v>
      </c>
      <c r="Q305" s="123">
        <f t="shared" si="12"/>
        <v>7607</v>
      </c>
    </row>
    <row r="306" spans="1:17" ht="12" customHeight="1">
      <c r="A306" s="164">
        <v>30090</v>
      </c>
      <c r="B306" s="168" t="s">
        <v>290</v>
      </c>
      <c r="C306" s="120">
        <f>ROUND(VLOOKUP(A306,'[2]Contribution Allocation_Report'!$A$9:$D$310,4,FALSE)*'PY_OPEB Amounts'!$C$323,0)</f>
        <v>1056860</v>
      </c>
      <c r="D306" s="120">
        <f>ROUND(VLOOKUP(A306,'[2]Contribution Allocation_Report'!$A$9:$D$310,4,FALSE)*'PY_OPEB Amounts'!$D$323,0)</f>
        <v>15453</v>
      </c>
      <c r="E306" s="120">
        <f>ROUND(VLOOKUP(A306,'[2]Contribution Allocation_Report'!$A$9:$D$310,4,FALSE)*'PY_OPEB Amounts'!$E$323,0)</f>
        <v>211593</v>
      </c>
      <c r="F306" s="130">
        <f>INDEX('[2]Change in Proportion Layers'!$Z$8:$Z$321,MATCH('PY_OPEB Amounts'!A306,'[2]Change in Proportion Layers'!$A$8:$A$321,0))</f>
        <v>223871</v>
      </c>
      <c r="G306" s="120">
        <f t="shared" si="13"/>
        <v>450917</v>
      </c>
      <c r="H306" s="120"/>
      <c r="I306" s="120">
        <f>ROUND(VLOOKUP(A306,'[2]Contribution Allocation_Report'!$A$9:$D$310,4,FALSE)*'PY_OPEB Amounts'!$I$323,0)</f>
        <v>168547</v>
      </c>
      <c r="J306" s="120">
        <f>ROUND(VLOOKUP(A306,'[2]Contribution Allocation_Report'!$A$9:$D$310,4,FALSE)*'PY_OPEB Amounts'!$J$323,0)</f>
        <v>30294</v>
      </c>
      <c r="K306" s="120">
        <f>ROUND(VLOOKUP(A306,'[2]Contribution Allocation_Report'!$A$9:$D$310,4,FALSE)*'PY_OPEB Amounts'!$K$323,0)</f>
        <v>382092</v>
      </c>
      <c r="L306" s="120">
        <f>INDEX('[2]Change in Proportion Layers'!$AA$8:$AA$321,MATCH('PY_OPEB Amounts'!A306,'[2]Change in Proportion Layers'!$A$8:$A$321,0))</f>
        <v>66082</v>
      </c>
      <c r="M306" s="120">
        <f t="shared" si="14"/>
        <v>647015</v>
      </c>
      <c r="N306" s="121"/>
      <c r="O306" s="121">
        <f>ROUND(VLOOKUP(A306,'[2]Contribution Allocation_Report'!$A$9:$D$310,4,FALSE)*'PY_OPEB Amounts'!$O$323,0)</f>
        <v>-113815</v>
      </c>
      <c r="P306" s="121">
        <f>INDEX('[2]Change in Proportion Layers'!$X$8:$X$321,MATCH('PY_OPEB Amounts'!A306,'[2]Change in Proportion Layers'!$A$8:$A$321,0))</f>
        <v>24066</v>
      </c>
      <c r="Q306" s="121">
        <f t="shared" si="12"/>
        <v>-89749</v>
      </c>
    </row>
    <row r="307" spans="1:17" ht="12" customHeight="1">
      <c r="A307" s="166">
        <v>29330</v>
      </c>
      <c r="B307" s="167" t="s">
        <v>291</v>
      </c>
      <c r="C307" s="122">
        <f>ROUND(VLOOKUP(A307,'[2]Contribution Allocation_Report'!$A$9:$D$310,4,FALSE)*'PY_OPEB Amounts'!$C$323,0)</f>
        <v>375758</v>
      </c>
      <c r="D307" s="122">
        <f>ROUND(VLOOKUP(A307,'[2]Contribution Allocation_Report'!$A$9:$D$310,4,FALSE)*'PY_OPEB Amounts'!$D$323,0)</f>
        <v>5494</v>
      </c>
      <c r="E307" s="122">
        <f>ROUND(VLOOKUP(A307,'[2]Contribution Allocation_Report'!$A$9:$D$310,4,FALSE)*'PY_OPEB Amounts'!$E$323,0)</f>
        <v>75230</v>
      </c>
      <c r="F307" s="122">
        <f>INDEX('[2]Change in Proportion Layers'!$Z$8:$Z$321,MATCH('PY_OPEB Amounts'!A307,'[2]Change in Proportion Layers'!$A$8:$A$321,0))</f>
        <v>29222</v>
      </c>
      <c r="G307" s="122">
        <f t="shared" si="13"/>
        <v>109946</v>
      </c>
      <c r="H307" s="122"/>
      <c r="I307" s="122">
        <f>ROUND(VLOOKUP(A307,'[2]Contribution Allocation_Report'!$A$9:$D$310,4,FALSE)*'PY_OPEB Amounts'!$I$323,0)</f>
        <v>59926</v>
      </c>
      <c r="J307" s="122">
        <f>ROUND(VLOOKUP(A307,'[2]Contribution Allocation_Report'!$A$9:$D$310,4,FALSE)*'PY_OPEB Amounts'!$J$323,0)</f>
        <v>10771</v>
      </c>
      <c r="K307" s="122">
        <f>ROUND(VLOOKUP(A307,'[2]Contribution Allocation_Report'!$A$9:$D$310,4,FALSE)*'PY_OPEB Amounts'!$K$323,0)</f>
        <v>135850</v>
      </c>
      <c r="L307" s="122">
        <f>INDEX('[2]Change in Proportion Layers'!$AA$8:$AA$321,MATCH('PY_OPEB Amounts'!A307,'[2]Change in Proportion Layers'!$A$8:$A$321,0))</f>
        <v>55295</v>
      </c>
      <c r="M307" s="122">
        <f t="shared" si="14"/>
        <v>261842</v>
      </c>
      <c r="N307" s="123"/>
      <c r="O307" s="123">
        <f>ROUND(VLOOKUP(A307,'[2]Contribution Allocation_Report'!$A$9:$D$310,4,FALSE)*'PY_OPEB Amounts'!$O$323,0)</f>
        <v>-40466</v>
      </c>
      <c r="P307" s="123">
        <f>INDEX('[2]Change in Proportion Layers'!$X$8:$X$321,MATCH('PY_OPEB Amounts'!A307,'[2]Change in Proportion Layers'!$A$8:$A$321,0))</f>
        <v>2754</v>
      </c>
      <c r="Q307" s="123">
        <f t="shared" si="12"/>
        <v>-37712</v>
      </c>
    </row>
    <row r="308" spans="1:17" ht="12" customHeight="1">
      <c r="A308" s="164">
        <v>12038</v>
      </c>
      <c r="B308" s="168" t="s">
        <v>292</v>
      </c>
      <c r="C308" s="120">
        <f>ROUND(VLOOKUP(A308,'[2]Contribution Allocation_Report'!$A$9:$D$310,4,FALSE)*'PY_OPEB Amounts'!$C$323,0)</f>
        <v>8196261</v>
      </c>
      <c r="D308" s="120">
        <f>ROUND(VLOOKUP(A308,'[2]Contribution Allocation_Report'!$A$9:$D$310,4,FALSE)*'PY_OPEB Amounts'!$D$323,0)</f>
        <v>119840</v>
      </c>
      <c r="E308" s="120">
        <f>ROUND(VLOOKUP(A308,'[2]Contribution Allocation_Report'!$A$9:$D$310,4,FALSE)*'PY_OPEB Amounts'!$E$323,0)</f>
        <v>1640967</v>
      </c>
      <c r="F308" s="120">
        <f>INDEX('[2]Change in Proportion Layers'!$Z$8:$Z$321,MATCH('PY_OPEB Amounts'!A308,'[2]Change in Proportion Layers'!$A$8:$A$321,0))</f>
        <v>1233226</v>
      </c>
      <c r="G308" s="120">
        <f t="shared" si="13"/>
        <v>2994033</v>
      </c>
      <c r="H308" s="120"/>
      <c r="I308" s="120">
        <f>ROUND(VLOOKUP(A308,'[2]Contribution Allocation_Report'!$A$9:$D$310,4,FALSE)*'PY_OPEB Amounts'!$I$323,0)</f>
        <v>1307133</v>
      </c>
      <c r="J308" s="120">
        <f>ROUND(VLOOKUP(A308,'[2]Contribution Allocation_Report'!$A$9:$D$310,4,FALSE)*'PY_OPEB Amounts'!$J$323,0)</f>
        <v>234939</v>
      </c>
      <c r="K308" s="120">
        <f>ROUND(VLOOKUP(A308,'[2]Contribution Allocation_Report'!$A$9:$D$310,4,FALSE)*'PY_OPEB Amounts'!$K$323,0)</f>
        <v>2963239</v>
      </c>
      <c r="L308" s="120">
        <f>INDEX('[2]Change in Proportion Layers'!$AA$8:$AA$321,MATCH('PY_OPEB Amounts'!A308,'[2]Change in Proportion Layers'!$A$8:$A$321,0))</f>
        <v>0</v>
      </c>
      <c r="M308" s="120">
        <f t="shared" si="14"/>
        <v>4505311</v>
      </c>
      <c r="N308" s="121"/>
      <c r="O308" s="121">
        <f>ROUND(VLOOKUP(A308,'[2]Contribution Allocation_Report'!$A$9:$D$310,4,FALSE)*'PY_OPEB Amounts'!$O$323,0)</f>
        <v>-882669</v>
      </c>
      <c r="P308" s="121">
        <f>INDEX('[2]Change in Proportion Layers'!$X$8:$X$321,MATCH('PY_OPEB Amounts'!A308,'[2]Change in Proportion Layers'!$A$8:$A$321,0))</f>
        <v>314322</v>
      </c>
      <c r="Q308" s="121">
        <f t="shared" si="12"/>
        <v>-568347</v>
      </c>
    </row>
    <row r="309" spans="1:17" ht="12" customHeight="1">
      <c r="A309" s="166">
        <v>8099</v>
      </c>
      <c r="B309" s="167" t="s">
        <v>293</v>
      </c>
      <c r="C309" s="122">
        <f>ROUND(VLOOKUP(A309,'[2]Contribution Allocation_Report'!$A$9:$D$310,4,FALSE)*'PY_OPEB Amounts'!$C$323,0)</f>
        <v>12872506</v>
      </c>
      <c r="D309" s="122">
        <f>ROUND(VLOOKUP(A309,'[2]Contribution Allocation_Report'!$A$9:$D$310,4,FALSE)*'PY_OPEB Amounts'!$D$323,0)</f>
        <v>188213</v>
      </c>
      <c r="E309" s="122">
        <f>ROUND(VLOOKUP(A309,'[2]Contribution Allocation_Report'!$A$9:$D$310,4,FALSE)*'PY_OPEB Amounts'!$E$323,0)</f>
        <v>2577195</v>
      </c>
      <c r="F309" s="122">
        <f>INDEX('[2]Change in Proportion Layers'!$Z$8:$Z$321,MATCH('PY_OPEB Amounts'!A309,'[2]Change in Proportion Layers'!$A$8:$A$321,0))</f>
        <v>236350</v>
      </c>
      <c r="G309" s="122">
        <f t="shared" si="13"/>
        <v>3001758</v>
      </c>
      <c r="H309" s="122"/>
      <c r="I309" s="122">
        <f>ROUND(VLOOKUP(A309,'[2]Contribution Allocation_Report'!$A$9:$D$310,4,FALSE)*'PY_OPEB Amounts'!$I$323,0)</f>
        <v>2052897</v>
      </c>
      <c r="J309" s="122">
        <f>ROUND(VLOOKUP(A309,'[2]Contribution Allocation_Report'!$A$9:$D$310,4,FALSE)*'PY_OPEB Amounts'!$J$323,0)</f>
        <v>368980</v>
      </c>
      <c r="K309" s="122">
        <f>ROUND(VLOOKUP(A309,'[2]Contribution Allocation_Report'!$A$9:$D$310,4,FALSE)*'PY_OPEB Amounts'!$K$323,0)</f>
        <v>4653867</v>
      </c>
      <c r="L309" s="122">
        <f>INDEX('[2]Change in Proportion Layers'!$AA$8:$AA$321,MATCH('PY_OPEB Amounts'!A309,'[2]Change in Proportion Layers'!$A$8:$A$321,0))</f>
        <v>1267664</v>
      </c>
      <c r="M309" s="122">
        <f t="shared" si="14"/>
        <v>8343408</v>
      </c>
      <c r="N309" s="123"/>
      <c r="O309" s="123">
        <f>ROUND(VLOOKUP(A309,'[2]Contribution Allocation_Report'!$A$9:$D$310,4,FALSE)*'PY_OPEB Amounts'!$O$323,0)</f>
        <v>-1386261</v>
      </c>
      <c r="P309" s="123">
        <f>INDEX('[2]Change in Proportion Layers'!$X$8:$X$321,MATCH('PY_OPEB Amounts'!A309,'[2]Change in Proportion Layers'!$A$8:$A$321,0))</f>
        <v>-464253</v>
      </c>
      <c r="Q309" s="123">
        <f t="shared" si="12"/>
        <v>-1850514</v>
      </c>
    </row>
    <row r="310" spans="1:17" ht="12" customHeight="1">
      <c r="A310" s="164">
        <v>2417</v>
      </c>
      <c r="B310" s="168" t="s">
        <v>294</v>
      </c>
      <c r="C310" s="120">
        <f>ROUND(VLOOKUP(A310,'[2]Contribution Allocation_Report'!$A$9:$D$310,4,FALSE)*'PY_OPEB Amounts'!$C$323,0)</f>
        <v>276060</v>
      </c>
      <c r="D310" s="120">
        <f>ROUND(VLOOKUP(A310,'[2]Contribution Allocation_Report'!$A$9:$D$310,4,FALSE)*'PY_OPEB Amounts'!$D$323,0)</f>
        <v>4036</v>
      </c>
      <c r="E310" s="120">
        <f>ROUND(VLOOKUP(A310,'[2]Contribution Allocation_Report'!$A$9:$D$310,4,FALSE)*'PY_OPEB Amounts'!$E$323,0)</f>
        <v>55270</v>
      </c>
      <c r="F310" s="120">
        <f>INDEX('[2]Change in Proportion Layers'!$Z$8:$Z$321,MATCH('PY_OPEB Amounts'!A310,'[2]Change in Proportion Layers'!$A$8:$A$321,0))</f>
        <v>51304</v>
      </c>
      <c r="G310" s="120">
        <f t="shared" si="13"/>
        <v>110610</v>
      </c>
      <c r="H310" s="120"/>
      <c r="I310" s="120">
        <f>ROUND(VLOOKUP(A310,'[2]Contribution Allocation_Report'!$A$9:$D$310,4,FALSE)*'PY_OPEB Amounts'!$I$323,0)</f>
        <v>44026</v>
      </c>
      <c r="J310" s="120">
        <f>ROUND(VLOOKUP(A310,'[2]Contribution Allocation_Report'!$A$9:$D$310,4,FALSE)*'PY_OPEB Amounts'!$J$323,0)</f>
        <v>7913</v>
      </c>
      <c r="K310" s="120">
        <f>ROUND(VLOOKUP(A310,'[2]Contribution Allocation_Report'!$A$9:$D$310,4,FALSE)*'PY_OPEB Amounts'!$K$323,0)</f>
        <v>99806</v>
      </c>
      <c r="L310" s="130">
        <f>INDEX('[2]Change in Proportion Layers'!$AA$8:$AA$321,MATCH('PY_OPEB Amounts'!A310,'[2]Change in Proportion Layers'!$A$8:$A$321,0))</f>
        <v>8202</v>
      </c>
      <c r="M310" s="120">
        <f t="shared" si="14"/>
        <v>159947</v>
      </c>
      <c r="N310" s="121"/>
      <c r="O310" s="121">
        <f>ROUND(VLOOKUP(A310,'[2]Contribution Allocation_Report'!$A$9:$D$310,4,FALSE)*'PY_OPEB Amounts'!$O$323,0)</f>
        <v>-29729</v>
      </c>
      <c r="P310" s="121">
        <f>INDEX('[2]Change in Proportion Layers'!$X$8:$X$321,MATCH('PY_OPEB Amounts'!A310,'[2]Change in Proportion Layers'!$A$8:$A$321,0))</f>
        <v>12762</v>
      </c>
      <c r="Q310" s="121">
        <f t="shared" si="12"/>
        <v>-16967</v>
      </c>
    </row>
    <row r="311" spans="1:17" ht="12" customHeight="1">
      <c r="A311" s="166">
        <v>13142</v>
      </c>
      <c r="B311" s="167" t="s">
        <v>295</v>
      </c>
      <c r="C311" s="122">
        <f>ROUND(VLOOKUP(A311,'[2]Contribution Allocation_Report'!$A$9:$D$310,4,FALSE)*'PY_OPEB Amounts'!$C$323,0)</f>
        <v>7659934</v>
      </c>
      <c r="D311" s="122">
        <f>ROUND(VLOOKUP(A311,'[2]Contribution Allocation_Report'!$A$9:$D$310,4,FALSE)*'PY_OPEB Amounts'!$D$323,0)</f>
        <v>111998</v>
      </c>
      <c r="E311" s="122">
        <f>ROUND(VLOOKUP(A311,'[2]Contribution Allocation_Report'!$A$9:$D$310,4,FALSE)*'PY_OPEB Amounts'!$E$323,0)</f>
        <v>1533590</v>
      </c>
      <c r="F311" s="122">
        <f>INDEX('[2]Change in Proportion Layers'!$Z$8:$Z$321,MATCH('PY_OPEB Amounts'!A311,'[2]Change in Proportion Layers'!$A$8:$A$321,0))</f>
        <v>211812</v>
      </c>
      <c r="G311" s="122">
        <f t="shared" si="13"/>
        <v>1857400</v>
      </c>
      <c r="H311" s="122"/>
      <c r="I311" s="122">
        <f>ROUND(VLOOKUP(A311,'[2]Contribution Allocation_Report'!$A$9:$D$310,4,FALSE)*'PY_OPEB Amounts'!$I$323,0)</f>
        <v>1221600</v>
      </c>
      <c r="J311" s="122">
        <f>ROUND(VLOOKUP(A311,'[2]Contribution Allocation_Report'!$A$9:$D$310,4,FALSE)*'PY_OPEB Amounts'!$J$323,0)</f>
        <v>219566</v>
      </c>
      <c r="K311" s="122">
        <f>ROUND(VLOOKUP(A311,'[2]Contribution Allocation_Report'!$A$9:$D$310,4,FALSE)*'PY_OPEB Amounts'!$K$323,0)</f>
        <v>2769338</v>
      </c>
      <c r="L311" s="122">
        <f>INDEX('[2]Change in Proportion Layers'!$AA$8:$AA$321,MATCH('PY_OPEB Amounts'!A311,'[2]Change in Proportion Layers'!$A$8:$A$321,0))</f>
        <v>409910</v>
      </c>
      <c r="M311" s="122">
        <f t="shared" si="14"/>
        <v>4620414</v>
      </c>
      <c r="N311" s="123"/>
      <c r="O311" s="123">
        <f>ROUND(VLOOKUP(A311,'[2]Contribution Allocation_Report'!$A$9:$D$310,4,FALSE)*'PY_OPEB Amounts'!$O$323,0)</f>
        <v>-824911</v>
      </c>
      <c r="P311" s="123">
        <f>INDEX('[2]Change in Proportion Layers'!$X$8:$X$321,MATCH('PY_OPEB Amounts'!A311,'[2]Change in Proportion Layers'!$A$8:$A$321,0))</f>
        <v>-71275</v>
      </c>
      <c r="Q311" s="123">
        <f t="shared" si="12"/>
        <v>-896186</v>
      </c>
    </row>
    <row r="312" spans="1:17" ht="12" customHeight="1">
      <c r="A312" s="164">
        <v>17334</v>
      </c>
      <c r="B312" s="168" t="s">
        <v>445</v>
      </c>
      <c r="C312" s="120">
        <v>0</v>
      </c>
      <c r="D312" s="120">
        <v>0</v>
      </c>
      <c r="E312" s="120">
        <v>0</v>
      </c>
      <c r="F312" s="120">
        <f>INDEX('[2]Change in Proportion Layers'!$Z$8:$Z$321,MATCH('PY_OPEB Amounts'!A312,'[2]Change in Proportion Layers'!$A$8:$A$321,0))</f>
        <v>3847</v>
      </c>
      <c r="G312" s="120">
        <f t="shared" si="13"/>
        <v>3847</v>
      </c>
      <c r="H312" s="120"/>
      <c r="I312" s="120">
        <v>0</v>
      </c>
      <c r="J312" s="120">
        <v>0</v>
      </c>
      <c r="K312" s="120">
        <v>0</v>
      </c>
      <c r="L312" s="120">
        <f>INDEX('[2]Change in Proportion Layers'!$AA$8:$AA$321,MATCH('PY_OPEB Amounts'!A312,'[2]Change in Proportion Layers'!$A$8:$A$321,0))</f>
        <v>144288</v>
      </c>
      <c r="M312" s="120">
        <f t="shared" si="14"/>
        <v>144288</v>
      </c>
      <c r="N312" s="121"/>
      <c r="O312" s="121">
        <v>0</v>
      </c>
      <c r="P312" s="121">
        <f>INDEX('[2]Change in Proportion Layers'!$X$8:$X$321,MATCH('PY_OPEB Amounts'!A312,'[2]Change in Proportion Layers'!$A$8:$A$321,0))</f>
        <v>-31515</v>
      </c>
      <c r="Q312" s="121">
        <f t="shared" si="12"/>
        <v>-31515</v>
      </c>
    </row>
    <row r="313" spans="1:17" ht="12" customHeight="1">
      <c r="A313" s="166">
        <v>2403</v>
      </c>
      <c r="B313" s="167" t="s">
        <v>590</v>
      </c>
      <c r="C313" s="122">
        <v>0</v>
      </c>
      <c r="D313" s="122">
        <v>0</v>
      </c>
      <c r="E313" s="122">
        <v>0</v>
      </c>
      <c r="F313" s="122">
        <f>INDEX('[2]Change in Proportion Layers'!$Z$8:$Z$321,MATCH('PY_OPEB Amounts'!A313,'[2]Change in Proportion Layers'!$A$8:$A$321,0))</f>
        <v>126632</v>
      </c>
      <c r="G313" s="122">
        <f t="shared" si="13"/>
        <v>126632</v>
      </c>
      <c r="H313" s="122"/>
      <c r="I313" s="122">
        <v>0</v>
      </c>
      <c r="J313" s="122">
        <v>0</v>
      </c>
      <c r="K313" s="122">
        <v>0</v>
      </c>
      <c r="L313" s="122">
        <f>INDEX('[2]Change in Proportion Layers'!$AA$8:$AA$321,MATCH('PY_OPEB Amounts'!A313,'[2]Change in Proportion Layers'!$A$8:$A$321,0))</f>
        <v>193890</v>
      </c>
      <c r="M313" s="122">
        <f t="shared" si="14"/>
        <v>193890</v>
      </c>
      <c r="N313" s="123"/>
      <c r="O313" s="123">
        <v>0</v>
      </c>
      <c r="P313" s="123">
        <f>INDEX('[2]Change in Proportion Layers'!$X$8:$X$321,MATCH('PY_OPEB Amounts'!A313,'[2]Change in Proportion Layers'!$A$8:$A$321,0))</f>
        <v>179</v>
      </c>
      <c r="Q313" s="123">
        <f t="shared" si="12"/>
        <v>179</v>
      </c>
    </row>
    <row r="314" spans="1:17" ht="12" customHeight="1">
      <c r="A314" s="164">
        <v>16358</v>
      </c>
      <c r="B314" s="168" t="s">
        <v>591</v>
      </c>
      <c r="C314" s="120">
        <v>0</v>
      </c>
      <c r="D314" s="120">
        <v>0</v>
      </c>
      <c r="E314" s="120">
        <v>0</v>
      </c>
      <c r="F314" s="120">
        <f>INDEX('[2]Change in Proportion Layers'!$Z$8:$Z$321,MATCH('PY_OPEB Amounts'!A314,'[2]Change in Proportion Layers'!$A$8:$A$321,0))</f>
        <v>2509</v>
      </c>
      <c r="G314" s="120">
        <f t="shared" si="13"/>
        <v>2509</v>
      </c>
      <c r="H314" s="120"/>
      <c r="I314" s="120">
        <v>0</v>
      </c>
      <c r="J314" s="120">
        <v>0</v>
      </c>
      <c r="K314" s="120">
        <v>0</v>
      </c>
      <c r="L314" s="130">
        <f>INDEX('[2]Change in Proportion Layers'!$AA$8:$AA$321,MATCH('PY_OPEB Amounts'!A314,'[2]Change in Proportion Layers'!$A$8:$A$321,0))</f>
        <v>499454</v>
      </c>
      <c r="M314" s="120">
        <f t="shared" si="14"/>
        <v>499454</v>
      </c>
      <c r="N314" s="121"/>
      <c r="O314" s="121">
        <v>0</v>
      </c>
      <c r="P314" s="121">
        <f>INDEX('[2]Change in Proportion Layers'!$X$8:$X$321,MATCH('PY_OPEB Amounts'!A314,'[2]Change in Proportion Layers'!$A$8:$A$321,0))</f>
        <v>-187729</v>
      </c>
      <c r="Q314" s="121">
        <f t="shared" si="12"/>
        <v>-187729</v>
      </c>
    </row>
    <row r="315" spans="1:17" ht="12" customHeight="1">
      <c r="A315" s="166">
        <v>2357</v>
      </c>
      <c r="B315" s="167" t="s">
        <v>592</v>
      </c>
      <c r="C315" s="122">
        <v>0</v>
      </c>
      <c r="D315" s="122">
        <v>0</v>
      </c>
      <c r="E315" s="122">
        <v>0</v>
      </c>
      <c r="F315" s="122">
        <f>INDEX('[2]Change in Proportion Layers'!$Z$8:$Z$321,MATCH('PY_OPEB Amounts'!A315,'[2]Change in Proportion Layers'!$A$8:$A$321,0))</f>
        <v>0</v>
      </c>
      <c r="G315" s="122">
        <f t="shared" si="13"/>
        <v>0</v>
      </c>
      <c r="H315" s="122"/>
      <c r="I315" s="122">
        <v>0</v>
      </c>
      <c r="J315" s="122">
        <v>0</v>
      </c>
      <c r="K315" s="122">
        <v>0</v>
      </c>
      <c r="L315" s="122">
        <f>INDEX('[2]Change in Proportion Layers'!$AA$8:$AA$321,MATCH('PY_OPEB Amounts'!A315,'[2]Change in Proportion Layers'!$A$8:$A$321,0))</f>
        <v>255071</v>
      </c>
      <c r="M315" s="122">
        <f t="shared" si="14"/>
        <v>255071</v>
      </c>
      <c r="N315" s="123"/>
      <c r="O315" s="123">
        <v>0</v>
      </c>
      <c r="P315" s="123">
        <f>INDEX('[2]Change in Proportion Layers'!$X$8:$X$321,MATCH('PY_OPEB Amounts'!A315,'[2]Change in Proportion Layers'!$A$8:$A$321,0))</f>
        <v>-101126</v>
      </c>
      <c r="Q315" s="123">
        <f t="shared" si="12"/>
        <v>-101126</v>
      </c>
    </row>
    <row r="316" spans="1:17" ht="12" customHeight="1">
      <c r="A316" s="164">
        <v>16357</v>
      </c>
      <c r="B316" s="168" t="s">
        <v>593</v>
      </c>
      <c r="C316" s="120">
        <v>0</v>
      </c>
      <c r="D316" s="120">
        <v>0</v>
      </c>
      <c r="E316" s="120">
        <v>0</v>
      </c>
      <c r="F316" s="120">
        <f>INDEX('[2]Change in Proportion Layers'!$Z$8:$Z$321,MATCH('PY_OPEB Amounts'!A316,'[2]Change in Proportion Layers'!$A$8:$A$321,0))</f>
        <v>0</v>
      </c>
      <c r="G316" s="120">
        <f t="shared" si="13"/>
        <v>0</v>
      </c>
      <c r="H316" s="120"/>
      <c r="I316" s="120">
        <v>0</v>
      </c>
      <c r="J316" s="120">
        <v>0</v>
      </c>
      <c r="K316" s="120">
        <v>0</v>
      </c>
      <c r="L316" s="130">
        <f>INDEX('[2]Change in Proportion Layers'!$AA$8:$AA$321,MATCH('PY_OPEB Amounts'!A316,'[2]Change in Proportion Layers'!$A$8:$A$321,0))</f>
        <v>412433</v>
      </c>
      <c r="M316" s="120">
        <f t="shared" si="14"/>
        <v>412433</v>
      </c>
      <c r="N316" s="121"/>
      <c r="O316" s="121">
        <v>0</v>
      </c>
      <c r="P316" s="121">
        <f>INDEX('[2]Change in Proportion Layers'!$X$8:$X$321,MATCH('PY_OPEB Amounts'!A316,'[2]Change in Proportion Layers'!$A$8:$A$321,0))</f>
        <v>-177304</v>
      </c>
      <c r="Q316" s="121">
        <f t="shared" si="12"/>
        <v>-177304</v>
      </c>
    </row>
    <row r="317" spans="1:17" ht="12" customHeight="1">
      <c r="A317" s="166">
        <v>7339</v>
      </c>
      <c r="B317" s="167" t="s">
        <v>594</v>
      </c>
      <c r="C317" s="122">
        <v>0</v>
      </c>
      <c r="D317" s="122">
        <v>0</v>
      </c>
      <c r="E317" s="122">
        <v>0</v>
      </c>
      <c r="F317" s="131">
        <f>INDEX('[2]Change in Proportion Layers'!$Z$8:$Z$321,MATCH('PY_OPEB Amounts'!A317,'[2]Change in Proportion Layers'!$A$8:$A$321,0))</f>
        <v>0</v>
      </c>
      <c r="G317" s="122">
        <f t="shared" si="13"/>
        <v>0</v>
      </c>
      <c r="H317" s="122"/>
      <c r="I317" s="122">
        <v>0</v>
      </c>
      <c r="J317" s="122">
        <v>0</v>
      </c>
      <c r="K317" s="122">
        <v>0</v>
      </c>
      <c r="L317" s="122">
        <f>INDEX('[2]Change in Proportion Layers'!$AA$8:$AA$321,MATCH('PY_OPEB Amounts'!A317,'[2]Change in Proportion Layers'!$A$8:$A$321,0))</f>
        <v>325499</v>
      </c>
      <c r="M317" s="122">
        <f t="shared" si="14"/>
        <v>325499</v>
      </c>
      <c r="N317" s="123"/>
      <c r="O317" s="123">
        <v>0</v>
      </c>
      <c r="P317" s="123">
        <f>INDEX('[2]Change in Proportion Layers'!$X$8:$X$321,MATCH('PY_OPEB Amounts'!A317,'[2]Change in Proportion Layers'!$A$8:$A$321,0))</f>
        <v>-126242</v>
      </c>
      <c r="Q317" s="123">
        <f t="shared" si="12"/>
        <v>-126242</v>
      </c>
    </row>
    <row r="318" spans="1:17" ht="12" customHeight="1">
      <c r="A318" s="164">
        <v>2344</v>
      </c>
      <c r="B318" s="168" t="s">
        <v>595</v>
      </c>
      <c r="C318" s="120">
        <v>0</v>
      </c>
      <c r="D318" s="120">
        <v>0</v>
      </c>
      <c r="E318" s="120">
        <v>0</v>
      </c>
      <c r="F318" s="120">
        <f>INDEX('[2]Change in Proportion Layers'!$Z$8:$Z$321,MATCH('PY_OPEB Amounts'!A318,'[2]Change in Proportion Layers'!$A$8:$A$321,0))</f>
        <v>0</v>
      </c>
      <c r="G318" s="120">
        <f t="shared" si="13"/>
        <v>0</v>
      </c>
      <c r="H318" s="120"/>
      <c r="I318" s="120">
        <v>0</v>
      </c>
      <c r="J318" s="120">
        <v>0</v>
      </c>
      <c r="K318" s="120">
        <v>0</v>
      </c>
      <c r="L318" s="130">
        <f>INDEX('[2]Change in Proportion Layers'!$AA$8:$AA$321,MATCH('PY_OPEB Amounts'!A318,'[2]Change in Proportion Layers'!$A$8:$A$321,0))</f>
        <v>525070</v>
      </c>
      <c r="M318" s="120">
        <f t="shared" si="14"/>
        <v>525070</v>
      </c>
      <c r="N318" s="121"/>
      <c r="O318" s="121">
        <v>0</v>
      </c>
      <c r="P318" s="121">
        <f>INDEX('[2]Change in Proportion Layers'!$X$8:$X$321,MATCH('PY_OPEB Amounts'!A318,'[2]Change in Proportion Layers'!$A$8:$A$321,0))</f>
        <v>-207195</v>
      </c>
      <c r="Q318" s="121">
        <f t="shared" si="12"/>
        <v>-207195</v>
      </c>
    </row>
    <row r="319" spans="1:17" ht="12" customHeight="1">
      <c r="A319" s="166">
        <v>2418</v>
      </c>
      <c r="B319" s="167" t="s">
        <v>596</v>
      </c>
      <c r="C319" s="122">
        <v>0</v>
      </c>
      <c r="D319" s="122">
        <v>0</v>
      </c>
      <c r="E319" s="122">
        <v>0</v>
      </c>
      <c r="F319" s="131">
        <f>INDEX('[2]Change in Proportion Layers'!$Z$8:$Z$321,MATCH('PY_OPEB Amounts'!A319,'[2]Change in Proportion Layers'!$A$8:$A$321,0))</f>
        <v>0</v>
      </c>
      <c r="G319" s="122">
        <f t="shared" si="13"/>
        <v>0</v>
      </c>
      <c r="H319" s="122"/>
      <c r="I319" s="122">
        <v>0</v>
      </c>
      <c r="J319" s="122">
        <v>0</v>
      </c>
      <c r="K319" s="122">
        <v>0</v>
      </c>
      <c r="L319" s="122">
        <f>INDEX('[2]Change in Proportion Layers'!$AA$8:$AA$321,MATCH('PY_OPEB Amounts'!A319,'[2]Change in Proportion Layers'!$A$8:$A$321,0))</f>
        <v>217467</v>
      </c>
      <c r="M319" s="122">
        <f t="shared" si="14"/>
        <v>217467</v>
      </c>
      <c r="N319" s="123"/>
      <c r="O319" s="123">
        <v>0</v>
      </c>
      <c r="P319" s="123">
        <f>INDEX('[2]Change in Proportion Layers'!$X$8:$X$321,MATCH('PY_OPEB Amounts'!A319,'[2]Change in Proportion Layers'!$A$8:$A$321,0))</f>
        <v>-126433</v>
      </c>
      <c r="Q319" s="123">
        <f t="shared" si="12"/>
        <v>-126433</v>
      </c>
    </row>
    <row r="320" spans="1:17" ht="12" customHeight="1">
      <c r="A320" s="164">
        <v>2345</v>
      </c>
      <c r="B320" s="168" t="s">
        <v>597</v>
      </c>
      <c r="C320" s="120">
        <v>0</v>
      </c>
      <c r="D320" s="120">
        <v>0</v>
      </c>
      <c r="E320" s="120">
        <v>0</v>
      </c>
      <c r="F320" s="120">
        <f>INDEX('[2]Change in Proportion Layers'!$Z$8:$Z$321,MATCH('PY_OPEB Amounts'!A320,'[2]Change in Proportion Layers'!$A$8:$A$321,0))</f>
        <v>0</v>
      </c>
      <c r="G320" s="120">
        <f t="shared" si="13"/>
        <v>0</v>
      </c>
      <c r="H320" s="120"/>
      <c r="I320" s="120">
        <v>0</v>
      </c>
      <c r="J320" s="120">
        <v>0</v>
      </c>
      <c r="K320" s="120">
        <v>0</v>
      </c>
      <c r="L320" s="120">
        <f>INDEX('[2]Change in Proportion Layers'!$AA$8:$AA$321,MATCH('PY_OPEB Amounts'!A320,'[2]Change in Proportion Layers'!$A$8:$A$321,0))</f>
        <v>186852</v>
      </c>
      <c r="M320" s="120">
        <f t="shared" si="14"/>
        <v>186852</v>
      </c>
      <c r="N320" s="121"/>
      <c r="O320" s="121">
        <v>0</v>
      </c>
      <c r="P320" s="121">
        <f>INDEX('[2]Change in Proportion Layers'!$X$8:$X$321,MATCH('PY_OPEB Amounts'!A320,'[2]Change in Proportion Layers'!$A$8:$A$321,0))</f>
        <v>-108636</v>
      </c>
      <c r="Q320" s="121">
        <f t="shared" si="12"/>
        <v>-108636</v>
      </c>
    </row>
    <row r="321" spans="1:17" ht="12" customHeight="1">
      <c r="A321" s="166">
        <v>13430</v>
      </c>
      <c r="B321" s="167" t="s">
        <v>598</v>
      </c>
      <c r="C321" s="234">
        <v>0</v>
      </c>
      <c r="D321" s="234">
        <v>0</v>
      </c>
      <c r="E321" s="234">
        <v>0</v>
      </c>
      <c r="F321" s="234">
        <f>INDEX('[2]Change in Proportion Layers'!$Z$8:$Z$321,MATCH('PY_OPEB Amounts'!A321,'[2]Change in Proportion Layers'!$A$8:$A$321,0))</f>
        <v>0</v>
      </c>
      <c r="G321" s="234">
        <f t="shared" si="13"/>
        <v>0</v>
      </c>
      <c r="H321" s="235"/>
      <c r="I321" s="234">
        <v>0</v>
      </c>
      <c r="J321" s="234">
        <v>0</v>
      </c>
      <c r="K321" s="234">
        <v>0</v>
      </c>
      <c r="L321" s="235">
        <f>INDEX('[2]Change in Proportion Layers'!$AA$8:$AA$321,MATCH('PY_OPEB Amounts'!A321,'[2]Change in Proportion Layers'!$A$8:$A$321,0))</f>
        <v>324524</v>
      </c>
      <c r="M321" s="235">
        <f t="shared" si="14"/>
        <v>324524</v>
      </c>
      <c r="N321" s="236"/>
      <c r="O321" s="234">
        <v>0</v>
      </c>
      <c r="P321" s="236">
        <f>INDEX('[2]Change in Proportion Layers'!$X$8:$X$321,MATCH('PY_OPEB Amounts'!A321,'[2]Change in Proportion Layers'!$A$8:$A$321,0))</f>
        <v>-188678</v>
      </c>
      <c r="Q321" s="236">
        <f t="shared" si="12"/>
        <v>-188678</v>
      </c>
    </row>
    <row r="322" spans="1:17" ht="6.6" customHeight="1">
      <c r="A322" s="169"/>
      <c r="B322" s="155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5"/>
      <c r="O322" s="155"/>
      <c r="P322" s="155"/>
      <c r="Q322" s="155"/>
    </row>
    <row r="323" spans="1:17" ht="13.5" customHeight="1" thickBot="1">
      <c r="A323" s="170"/>
      <c r="B323" s="171"/>
      <c r="C323" s="172">
        <v>3290349790</v>
      </c>
      <c r="D323" s="172">
        <v>48109251</v>
      </c>
      <c r="E323" s="172">
        <v>658758492</v>
      </c>
      <c r="F323" s="172">
        <f>SUM(F10:F321)</f>
        <v>186315833</v>
      </c>
      <c r="G323" s="172">
        <f>SUM(G10:G321)</f>
        <v>893183579</v>
      </c>
      <c r="H323" s="172"/>
      <c r="I323" s="172">
        <v>524742358</v>
      </c>
      <c r="J323" s="172">
        <v>94315095</v>
      </c>
      <c r="K323" s="172">
        <v>1189578095</v>
      </c>
      <c r="L323" s="172">
        <f>SUM(L10:L321)</f>
        <v>186315833</v>
      </c>
      <c r="M323" s="172">
        <f>SUM(M10:M321)</f>
        <v>1994951381</v>
      </c>
      <c r="N323" s="172"/>
      <c r="O323" s="172">
        <v>-354343140</v>
      </c>
      <c r="P323" s="172">
        <f>SUM(P10:P321)</f>
        <v>0</v>
      </c>
      <c r="Q323" s="172">
        <f>SUM(Q10:Q321)</f>
        <v>-354343140</v>
      </c>
    </row>
    <row r="324" spans="1:17" ht="12" customHeight="1" thickTop="1">
      <c r="A324" s="173" t="s">
        <v>599</v>
      </c>
      <c r="B324" s="148"/>
      <c r="C324" s="175"/>
      <c r="D324" s="175"/>
      <c r="E324" s="175"/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</row>
    <row r="325" spans="1:17" ht="12" customHeight="1">
      <c r="A325" s="173" t="s">
        <v>600</v>
      </c>
    </row>
    <row r="326" spans="1:17" ht="12" customHeight="1">
      <c r="A326" s="173" t="s">
        <v>601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7" ht="12" customHeight="1">
      <c r="C327" s="7">
        <f>SUM(C10:C321)-C323</f>
        <v>0</v>
      </c>
      <c r="D327" s="7">
        <f>SUM(J10:J321)-J323</f>
        <v>0</v>
      </c>
      <c r="E327" s="7">
        <f>SUM(E10:E321)-E323</f>
        <v>0</v>
      </c>
      <c r="F327" s="7"/>
      <c r="G327" s="7"/>
      <c r="H327" s="7"/>
      <c r="I327" s="7">
        <f>SUM(I10:I321)-I323</f>
        <v>0</v>
      </c>
      <c r="J327" s="7">
        <f>SUM(J10:J321)-J323</f>
        <v>0</v>
      </c>
      <c r="K327" s="7">
        <f>SUM(K10:K321)-K323</f>
        <v>0</v>
      </c>
      <c r="L327" s="7">
        <f>+F323-L323</f>
        <v>0</v>
      </c>
      <c r="M327" s="7">
        <f>SUM(M10:M321)-M323</f>
        <v>0</v>
      </c>
      <c r="N327" s="7">
        <f>SUM(N10:N321)-N323</f>
        <v>0</v>
      </c>
      <c r="O327" s="7">
        <f>SUM(O10:O321)-O323</f>
        <v>0</v>
      </c>
      <c r="Q327" s="7">
        <f>SUM(Q10:Q321)-Q323</f>
        <v>0</v>
      </c>
    </row>
    <row r="329" spans="1:17" ht="12" customHeight="1">
      <c r="O329" s="69"/>
    </row>
    <row r="330" spans="1:17" ht="12" customHeight="1">
      <c r="M330" s="39"/>
    </row>
    <row r="331" spans="1:17" ht="12" customHeight="1">
      <c r="M331" s="47"/>
    </row>
    <row r="332" spans="1:17" ht="12" customHeight="1">
      <c r="M332" s="129"/>
    </row>
  </sheetData>
  <mergeCells count="6">
    <mergeCell ref="A1:Q1"/>
    <mergeCell ref="A2:Q2"/>
    <mergeCell ref="A3:Q3"/>
    <mergeCell ref="D6:G6"/>
    <mergeCell ref="I6:M6"/>
    <mergeCell ref="O6:Q6"/>
  </mergeCells>
  <pageMargins left="0.7" right="0.7" top="0.5" bottom="0.5" header="0.5" footer="0.5"/>
  <pageSetup scale="51" firstPageNumber="8" fitToHeight="0" orientation="landscape" useFirstPageNumber="1" r:id="rId1"/>
  <headerFooter differentOddEven="1" scaleWithDoc="0">
    <oddFooter>&amp;R&amp;"Arial,Regular"&amp;10&amp;P</oddFooter>
    <evenFooter>&amp;R&amp;"Arial,Regular"&amp;10&amp;P</evenFooter>
  </headerFooter>
  <rowBreaks count="6" manualBreakCount="6">
    <brk id="57" max="16" man="1"/>
    <brk id="105" max="16" man="1"/>
    <brk id="153" max="16" man="1"/>
    <brk id="201" max="16" man="1"/>
    <brk id="249" max="16" man="1"/>
    <brk id="29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110C-02B1-4285-8E61-21281467A605}">
  <sheetPr>
    <tabColor rgb="FF92D050"/>
  </sheetPr>
  <dimension ref="A1:X344"/>
  <sheetViews>
    <sheetView view="pageBreakPreview" zoomScaleNormal="90" zoomScaleSheetLayoutView="100" workbookViewId="0">
      <selection activeCell="A234" sqref="A234:XFD234"/>
    </sheetView>
  </sheetViews>
  <sheetFormatPr defaultColWidth="8.7109375" defaultRowHeight="15"/>
  <cols>
    <col min="1" max="1" width="12.7109375" style="132" customWidth="1"/>
    <col min="2" max="2" width="68" style="132" customWidth="1"/>
    <col min="3" max="4" width="15" style="132" customWidth="1"/>
    <col min="5" max="5" width="15.28515625" style="132" customWidth="1"/>
    <col min="6" max="6" width="15.5703125" style="132" customWidth="1"/>
    <col min="7" max="7" width="15" style="132" customWidth="1"/>
    <col min="8" max="8" width="3.42578125" style="132" customWidth="1"/>
    <col min="9" max="9" width="12" style="132" customWidth="1"/>
    <col min="10" max="10" width="16" style="132" bestFit="1" customWidth="1"/>
    <col min="11" max="15" width="16.42578125" style="132" customWidth="1"/>
    <col min="16" max="16" width="8.7109375" style="132"/>
    <col min="17" max="21" width="14.42578125" style="132" customWidth="1"/>
    <col min="22" max="22" width="8.7109375" style="132"/>
    <col min="23" max="23" width="14.42578125" style="132" customWidth="1"/>
    <col min="24" max="24" width="13.5703125" style="132" bestFit="1" customWidth="1"/>
    <col min="25" max="16384" width="8.7109375" style="132"/>
  </cols>
  <sheetData>
    <row r="1" spans="1:24" ht="18">
      <c r="A1" s="257" t="s">
        <v>391</v>
      </c>
      <c r="B1" s="257"/>
      <c r="C1" s="257"/>
      <c r="D1" s="257"/>
      <c r="E1" s="257"/>
      <c r="F1" s="257"/>
      <c r="G1" s="257"/>
    </row>
    <row r="2" spans="1:24" ht="15.75">
      <c r="A2" s="258" t="s">
        <v>394</v>
      </c>
      <c r="B2" s="258"/>
      <c r="C2" s="258"/>
      <c r="D2" s="258"/>
      <c r="E2" s="258"/>
      <c r="F2" s="258"/>
      <c r="G2" s="258"/>
    </row>
    <row r="3" spans="1:24" ht="15.75">
      <c r="A3" s="261" t="s">
        <v>553</v>
      </c>
      <c r="B3" s="258"/>
      <c r="C3" s="258"/>
      <c r="D3" s="258"/>
      <c r="E3" s="258"/>
      <c r="F3" s="258"/>
      <c r="G3" s="258"/>
    </row>
    <row r="6" spans="1:24">
      <c r="A6" s="177"/>
      <c r="B6" s="177"/>
      <c r="C6" s="262" t="s">
        <v>301</v>
      </c>
      <c r="D6" s="262"/>
      <c r="E6" s="262"/>
      <c r="F6" s="262"/>
      <c r="G6" s="262"/>
      <c r="K6" s="262" t="s">
        <v>301</v>
      </c>
      <c r="L6" s="262"/>
      <c r="M6" s="262"/>
      <c r="N6" s="262"/>
      <c r="O6" s="262"/>
      <c r="Q6" s="262" t="s">
        <v>301</v>
      </c>
      <c r="R6" s="262"/>
      <c r="S6" s="262"/>
      <c r="T6" s="262"/>
      <c r="U6" s="262"/>
    </row>
    <row r="7" spans="1:24" ht="34.35" customHeight="1">
      <c r="A7" s="178" t="s">
        <v>0</v>
      </c>
      <c r="B7" s="179" t="s">
        <v>1</v>
      </c>
      <c r="C7" s="180" t="s">
        <v>302</v>
      </c>
      <c r="D7" s="180" t="s">
        <v>426</v>
      </c>
      <c r="E7" s="180" t="s">
        <v>431</v>
      </c>
      <c r="F7" s="180" t="s">
        <v>446</v>
      </c>
      <c r="G7" s="180" t="s">
        <v>554</v>
      </c>
      <c r="J7" s="181" t="s">
        <v>385</v>
      </c>
      <c r="K7" s="180" t="s">
        <v>302</v>
      </c>
      <c r="L7" s="180" t="s">
        <v>426</v>
      </c>
      <c r="M7" s="180" t="s">
        <v>431</v>
      </c>
      <c r="N7" s="180" t="s">
        <v>446</v>
      </c>
      <c r="O7" s="180" t="s">
        <v>554</v>
      </c>
      <c r="P7" s="181" t="s">
        <v>385</v>
      </c>
      <c r="Q7" s="180" t="s">
        <v>302</v>
      </c>
      <c r="R7" s="180" t="s">
        <v>426</v>
      </c>
      <c r="S7" s="180" t="s">
        <v>431</v>
      </c>
      <c r="T7" s="180" t="s">
        <v>446</v>
      </c>
      <c r="U7" s="180" t="s">
        <v>554</v>
      </c>
    </row>
    <row r="8" spans="1:24">
      <c r="A8" s="182"/>
      <c r="B8" s="182"/>
      <c r="C8" s="183" t="s">
        <v>303</v>
      </c>
      <c r="D8" s="183" t="s">
        <v>330</v>
      </c>
      <c r="E8" s="183" t="s">
        <v>331</v>
      </c>
      <c r="F8" s="183" t="s">
        <v>332</v>
      </c>
      <c r="G8" s="183" t="s">
        <v>333</v>
      </c>
      <c r="K8" s="260" t="s">
        <v>387</v>
      </c>
      <c r="L8" s="260"/>
      <c r="M8" s="260"/>
      <c r="N8" s="260"/>
      <c r="O8" s="260"/>
      <c r="Q8" s="260" t="s">
        <v>372</v>
      </c>
      <c r="R8" s="260"/>
      <c r="S8" s="260"/>
      <c r="T8" s="260"/>
      <c r="U8" s="260"/>
      <c r="X8" s="132" t="s">
        <v>384</v>
      </c>
    </row>
    <row r="9" spans="1:24">
      <c r="A9" s="182"/>
      <c r="B9" s="182"/>
      <c r="C9" s="183"/>
      <c r="D9" s="183"/>
      <c r="E9" s="183"/>
      <c r="F9" s="183"/>
      <c r="G9" s="183"/>
    </row>
    <row r="10" spans="1:24">
      <c r="A10" s="184">
        <v>1341</v>
      </c>
      <c r="B10" s="185" t="s">
        <v>5</v>
      </c>
      <c r="C10" s="6">
        <f>+Q10</f>
        <v>-113040033</v>
      </c>
      <c r="D10" s="6">
        <f>+R10</f>
        <v>-83019704</v>
      </c>
      <c r="E10" s="6">
        <f>+S10</f>
        <v>-51528872</v>
      </c>
      <c r="F10" s="6">
        <f>+T10</f>
        <v>-74624354</v>
      </c>
      <c r="G10" s="6">
        <f>+U10</f>
        <v>-43522107</v>
      </c>
      <c r="I10" s="186"/>
      <c r="K10" s="64">
        <f>ROUND(VLOOKUP($A10,'Contribution Allocation_Report'!$A$9:$D$311,4,FALSE)*$K$326,0)</f>
        <v>-111292452</v>
      </c>
      <c r="L10" s="64">
        <f>ROUND(VLOOKUP($A10,'Contribution Allocation_Report'!$A$9:$D$308,4,FALSE)*$L$326,0)</f>
        <v>-80871361</v>
      </c>
      <c r="M10" s="64">
        <f>ROUND(VLOOKUP($A10,'Contribution Allocation_Report'!$A$9:$D$311,4,FALSE)*$M$326,0)</f>
        <v>-48803055</v>
      </c>
      <c r="N10" s="64">
        <f>ROUND(VLOOKUP($A10,'Contribution Allocation_Report'!$A$9:$D$311,4,FALSE)*$N$326,0)</f>
        <v>-73578921</v>
      </c>
      <c r="O10" s="64">
        <f>ROUND(VLOOKUP($A10,'Contribution Allocation_Report'!$A$9:$D$308,4,FALSE)*$O$326,0)</f>
        <v>-41915658</v>
      </c>
      <c r="Q10" s="64">
        <f>+K10+VLOOKUP(A10,'Change in Proportion Layers'!$A$8:$N$322,3,FALSE)+VLOOKUP(A10,'Change in Proportion Layers'!$A$8:$Y$322,10,FALSE)+VLOOKUP(A10,'Change in Proportion Layers'!$A$8:$Y$322,16,FALSE)+VLOOKUP(A10,'Change in Proportion Layers'!$A$8:$Y$322,21,FALSE)+VLOOKUP(A10,'Change in Proportion Layers'!$A$8:$Y$322,25,FALSE)</f>
        <v>-113040033</v>
      </c>
      <c r="R10" s="64">
        <f>+L10+VLOOKUP(A10,'Change in Proportion Layers'!$A$8:$Y$324,4,FALSE)+VLOOKUP(A10,'Change in Proportion Layers'!$A$8:$Y$324,11,FALSE)+VLOOKUP(A10,'Change in Proportion Layers'!$A$8:$Y$324,17,FALSE)+VLOOKUP(A10,'Change in Proportion Layers'!$A$8:$Y$324,22,FALSE)</f>
        <v>-83019704</v>
      </c>
      <c r="S10" s="64">
        <f>+M10+VLOOKUP(A10,'Change in Proportion Layers'!$A$8:$Y$324,5,FALSE)+VLOOKUP(A10,'Change in Proportion Layers'!$A$8:$Y$324,12,FALSE)+VLOOKUP(A10,'Change in Proportion Layers'!$A$8:$Y$324,18,FALSE)</f>
        <v>-51528872</v>
      </c>
      <c r="T10" s="64">
        <f>+N10+VLOOKUP(A10,'Change in Proportion Layers'!$A$8:$Y$324,6,FALSE)+VLOOKUP(A10,'Change in Proportion Layers'!$A$8:$Y$324,13,FALSE)</f>
        <v>-74624354</v>
      </c>
      <c r="U10" s="64">
        <f>+O10+VLOOKUP(A10,'Change in Proportion Layers'!$A$8:$Y$324,7,FALSE)+6</f>
        <v>-43522107</v>
      </c>
      <c r="W10" s="64">
        <f>('OPEB Amounts_Report'!H10-'OPEB Amounts_Report'!M10)</f>
        <v>-365735071</v>
      </c>
      <c r="X10" s="129">
        <f>SUM(Q10:U10)-W10</f>
        <v>1</v>
      </c>
    </row>
    <row r="11" spans="1:24">
      <c r="A11" s="187">
        <v>2308</v>
      </c>
      <c r="B11" s="188" t="s">
        <v>6</v>
      </c>
      <c r="C11" s="5">
        <f t="shared" ref="C11:G62" si="0">+Q11</f>
        <v>-64603</v>
      </c>
      <c r="D11" s="5">
        <f t="shared" si="0"/>
        <v>-16716</v>
      </c>
      <c r="E11" s="5">
        <f t="shared" si="0"/>
        <v>18917</v>
      </c>
      <c r="F11" s="5">
        <f t="shared" si="0"/>
        <v>-23775</v>
      </c>
      <c r="G11" s="5">
        <f t="shared" si="0"/>
        <v>-29124</v>
      </c>
      <c r="I11" s="186"/>
      <c r="K11" s="64">
        <f>ROUND(VLOOKUP($A11,'Contribution Allocation_Report'!$A$9:$D$311,4,FALSE)*$K$326,0)</f>
        <v>-210547</v>
      </c>
      <c r="L11" s="64">
        <f>ROUND(VLOOKUP($A11,'Contribution Allocation_Report'!$A$9:$D$311,4,FALSE)*$L$326,0)</f>
        <v>-152995</v>
      </c>
      <c r="M11" s="64">
        <f>ROUND(VLOOKUP($A11,'Contribution Allocation_Report'!$A$9:$D$311,4,FALSE)*$M$326,0)</f>
        <v>-92327</v>
      </c>
      <c r="N11" s="64">
        <f>ROUND(VLOOKUP($A11,'Contribution Allocation_Report'!$A$9:$D$311,4,FALSE)*$N$326,0)</f>
        <v>-139199</v>
      </c>
      <c r="O11" s="64">
        <f>ROUND(VLOOKUP($A11,'Contribution Allocation_Report'!$A$9:$D$311,4,FALSE)*$O$326,0)</f>
        <v>-79297</v>
      </c>
      <c r="Q11" s="64">
        <f>+K11+VLOOKUP(A11,'Change in Proportion Layers'!$A$8:$N$324,3,FALSE)+VLOOKUP(A11,'Change in Proportion Layers'!$A$8:$Y$324,10,FALSE)+VLOOKUP(A11,'Change in Proportion Layers'!$A$8:$Y$324,16,FALSE)+VLOOKUP(A11,'Change in Proportion Layers'!$A$8:$Y$324,21,FALSE)+VLOOKUP(A11,'Change in Proportion Layers'!$A$8:$Y$324,25,FALSE)-1</f>
        <v>-64603</v>
      </c>
      <c r="R11" s="64">
        <f>+L11+VLOOKUP(A11,'Change in Proportion Layers'!$A$8:$Y$324,4,FALSE)+VLOOKUP(A11,'Change in Proportion Layers'!$A$8:$Y$324,11,FALSE)+VLOOKUP(A11,'Change in Proportion Layers'!$A$8:$Y$324,17,FALSE)+VLOOKUP(A11,'Change in Proportion Layers'!$A$8:$Y$324,22,FALSE)</f>
        <v>-16716</v>
      </c>
      <c r="S11" s="64">
        <f>+M11+VLOOKUP(A11,'Change in Proportion Layers'!$A$8:$Y$324,5,FALSE)+VLOOKUP(A11,'Change in Proportion Layers'!$A$8:$Y$324,12,FALSE)+VLOOKUP(A11,'Change in Proportion Layers'!$A$8:$Y$324,18,FALSE)</f>
        <v>18917</v>
      </c>
      <c r="T11" s="64">
        <f>+N11+VLOOKUP(A11,'Change in Proportion Layers'!$A$8:$Y$324,6,FALSE)+VLOOKUP(A11,'Change in Proportion Layers'!$A$8:$Y$324,13,FALSE)</f>
        <v>-23775</v>
      </c>
      <c r="U11" s="64">
        <f>+O11+VLOOKUP(A11,'Change in Proportion Layers'!$A$8:$Y$324,7,FALSE)</f>
        <v>-29124</v>
      </c>
      <c r="W11" s="64">
        <f>('OPEB Amounts_Report'!H11-'OPEB Amounts_Report'!M11)</f>
        <v>-115301</v>
      </c>
      <c r="X11" s="129">
        <f>SUM(Q11:U11)-('OPEB Amounts_Report'!H11-'OPEB Amounts_Report'!M11)</f>
        <v>0</v>
      </c>
    </row>
    <row r="12" spans="1:24">
      <c r="A12" s="184">
        <v>2340</v>
      </c>
      <c r="B12" s="185" t="s">
        <v>7</v>
      </c>
      <c r="C12" s="63">
        <f t="shared" si="0"/>
        <v>-197005</v>
      </c>
      <c r="D12" s="63">
        <f t="shared" si="0"/>
        <v>-145463</v>
      </c>
      <c r="E12" s="63">
        <f t="shared" si="0"/>
        <v>-87029</v>
      </c>
      <c r="F12" s="63">
        <f t="shared" si="0"/>
        <v>-118212</v>
      </c>
      <c r="G12" s="63">
        <f t="shared" si="0"/>
        <v>-73264</v>
      </c>
      <c r="I12" s="186"/>
      <c r="K12" s="64">
        <f>ROUND(VLOOKUP($A12,'Contribution Allocation_Report'!$A$9:$D$311,4,FALSE)*$K$326,0)</f>
        <v>-186531</v>
      </c>
      <c r="L12" s="64">
        <f>ROUND(VLOOKUP($A12,'Contribution Allocation_Report'!$A$9:$D$311,4,FALSE)*$L$326,0)</f>
        <v>-135544</v>
      </c>
      <c r="M12" s="64">
        <f>ROUND(VLOOKUP($A12,'Contribution Allocation_Report'!$A$9:$D$311,4,FALSE)*$M$326,0)</f>
        <v>-81796</v>
      </c>
      <c r="N12" s="64">
        <f>ROUND(VLOOKUP($A12,'Contribution Allocation_Report'!$A$9:$D$311,4,FALSE)*$N$326,0)</f>
        <v>-123322</v>
      </c>
      <c r="O12" s="64">
        <f>ROUND(VLOOKUP($A12,'Contribution Allocation_Report'!$A$9:$D$311,4,FALSE)*$O$326,0)</f>
        <v>-70253</v>
      </c>
      <c r="Q12" s="64">
        <f>+K12+VLOOKUP(A12,'Change in Proportion Layers'!$A$8:$N$324,3,FALSE)+VLOOKUP(A12,'Change in Proportion Layers'!$A$8:$Y$324,10,FALSE)+VLOOKUP(A12,'Change in Proportion Layers'!$A$8:$Y$324,16,FALSE)+VLOOKUP(A12,'Change in Proportion Layers'!$A$8:$Y$324,21,FALSE)+VLOOKUP(A12,'Change in Proportion Layers'!$A$8:$Y$324,25,FALSE)</f>
        <v>-197005</v>
      </c>
      <c r="R12" s="64">
        <f>+L12+VLOOKUP(A12,'Change in Proportion Layers'!$A$8:$Y$324,4,FALSE)+VLOOKUP(A12,'Change in Proportion Layers'!$A$8:$Y$324,11,FALSE)+VLOOKUP(A12,'Change in Proportion Layers'!$A$8:$Y$324,17,FALSE)+VLOOKUP(A12,'Change in Proportion Layers'!$A$8:$Y$324,22,FALSE)</f>
        <v>-145463</v>
      </c>
      <c r="S12" s="64">
        <f>+M12+VLOOKUP(A12,'Change in Proportion Layers'!$A$8:$Y$324,5,FALSE)+VLOOKUP(A12,'Change in Proportion Layers'!$A$8:$Y$324,12,FALSE)+VLOOKUP(A12,'Change in Proportion Layers'!$A$8:$Y$324,18,FALSE)</f>
        <v>-87029</v>
      </c>
      <c r="T12" s="64">
        <f>+N12+VLOOKUP(A12,'Change in Proportion Layers'!$A$8:$Y$324,6,FALSE)+VLOOKUP(A12,'Change in Proportion Layers'!$A$8:$Y$324,13,FALSE)</f>
        <v>-118212</v>
      </c>
      <c r="U12" s="64">
        <f>+O12+VLOOKUP(A12,'Change in Proportion Layers'!$A$8:$Y$324,7,FALSE)</f>
        <v>-73264</v>
      </c>
      <c r="W12" s="64">
        <f>('OPEB Amounts_Report'!H12-'OPEB Amounts_Report'!M12)</f>
        <v>-620973</v>
      </c>
      <c r="X12" s="129">
        <f>SUM(Q12:U12)-('OPEB Amounts_Report'!H12-'OPEB Amounts_Report'!M12)</f>
        <v>0</v>
      </c>
    </row>
    <row r="13" spans="1:24">
      <c r="A13" s="187">
        <v>1301</v>
      </c>
      <c r="B13" s="188" t="s">
        <v>8</v>
      </c>
      <c r="C13" s="5">
        <f t="shared" si="0"/>
        <v>-164596</v>
      </c>
      <c r="D13" s="5">
        <f t="shared" si="0"/>
        <v>-102794</v>
      </c>
      <c r="E13" s="5">
        <f t="shared" si="0"/>
        <v>-56271</v>
      </c>
      <c r="F13" s="5">
        <f t="shared" si="0"/>
        <v>-116388</v>
      </c>
      <c r="G13" s="5">
        <f t="shared" si="0"/>
        <v>-88402</v>
      </c>
      <c r="I13" s="186"/>
      <c r="K13" s="64">
        <f>ROUND(VLOOKUP($A13,'Contribution Allocation_Report'!$A$9:$D$311,4,FALSE)*$K$326,0)</f>
        <v>-218456</v>
      </c>
      <c r="L13" s="64">
        <f>ROUND(VLOOKUP($A13,'Contribution Allocation_Report'!$A$9:$D$311,4,FALSE)*$L$326,0)</f>
        <v>-158742</v>
      </c>
      <c r="M13" s="64">
        <f>ROUND(VLOOKUP($A13,'Contribution Allocation_Report'!$A$9:$D$311,4,FALSE)*$M$326,0)</f>
        <v>-95795</v>
      </c>
      <c r="N13" s="64">
        <f>ROUND(VLOOKUP($A13,'Contribution Allocation_Report'!$A$9:$D$311,4,FALSE)*$N$326,0)</f>
        <v>-144428</v>
      </c>
      <c r="O13" s="64">
        <f>ROUND(VLOOKUP($A13,'Contribution Allocation_Report'!$A$9:$D$311,4,FALSE)*$O$326,0)</f>
        <v>-82276</v>
      </c>
      <c r="Q13" s="64">
        <f>+K13+VLOOKUP(A13,'Change in Proportion Layers'!$A$8:$N$324,3,FALSE)+VLOOKUP(A13,'Change in Proportion Layers'!$A$8:$Y$324,10,FALSE)+VLOOKUP(A13,'Change in Proportion Layers'!$A$8:$Y$324,16,FALSE)+VLOOKUP(A13,'Change in Proportion Layers'!$A$8:$Y$324,21,FALSE)+VLOOKUP(A13,'Change in Proportion Layers'!$A$8:$Y$324,25,FALSE)</f>
        <v>-164596</v>
      </c>
      <c r="R13" s="64">
        <f>+L13+VLOOKUP(A13,'Change in Proportion Layers'!$A$8:$Y$324,4,FALSE)+VLOOKUP(A13,'Change in Proportion Layers'!$A$8:$Y$324,11,FALSE)+VLOOKUP(A13,'Change in Proportion Layers'!$A$8:$Y$324,17,FALSE)+VLOOKUP(A13,'Change in Proportion Layers'!$A$8:$Y$324,22,FALSE)</f>
        <v>-102794</v>
      </c>
      <c r="S13" s="64">
        <f>+M13+VLOOKUP(A13,'Change in Proportion Layers'!$A$8:$Y$324,5,FALSE)+VLOOKUP(A13,'Change in Proportion Layers'!$A$8:$Y$324,12,FALSE)+VLOOKUP(A13,'Change in Proportion Layers'!$A$8:$Y$324,18,FALSE)</f>
        <v>-56271</v>
      </c>
      <c r="T13" s="64">
        <f>+N13+VLOOKUP(A13,'Change in Proportion Layers'!$A$8:$Y$324,6,FALSE)+VLOOKUP(A13,'Change in Proportion Layers'!$A$8:$Y$324,13,FALSE)</f>
        <v>-116388</v>
      </c>
      <c r="U13" s="64">
        <f>+O13+VLOOKUP(A13,'Change in Proportion Layers'!$A$8:$Y$324,7,FALSE)+1</f>
        <v>-88402</v>
      </c>
      <c r="W13" s="64">
        <f>('OPEB Amounts_Report'!H13-'OPEB Amounts_Report'!M13)</f>
        <v>-528451</v>
      </c>
      <c r="X13" s="129">
        <f>SUM(Q13:U13)-('OPEB Amounts_Report'!H13-'OPEB Amounts_Report'!M13)</f>
        <v>0</v>
      </c>
    </row>
    <row r="14" spans="1:24">
      <c r="A14" s="184">
        <v>2390</v>
      </c>
      <c r="B14" s="185" t="s">
        <v>9</v>
      </c>
      <c r="C14" s="63">
        <f t="shared" si="0"/>
        <v>-227715</v>
      </c>
      <c r="D14" s="63">
        <f t="shared" si="0"/>
        <v>-151398</v>
      </c>
      <c r="E14" s="63">
        <f t="shared" si="0"/>
        <v>-72594</v>
      </c>
      <c r="F14" s="63">
        <f t="shared" si="0"/>
        <v>-81052</v>
      </c>
      <c r="G14" s="63">
        <f t="shared" si="0"/>
        <v>-55844</v>
      </c>
      <c r="I14" s="186"/>
      <c r="K14" s="64">
        <f>ROUND(VLOOKUP($A14,'Contribution Allocation_Report'!$A$9:$D$311,4,FALSE)*$K$326,0)</f>
        <v>-151653</v>
      </c>
      <c r="L14" s="64">
        <f>ROUND(VLOOKUP($A14,'Contribution Allocation_Report'!$A$9:$D$311,4,FALSE)*$L$326,0)</f>
        <v>-110199</v>
      </c>
      <c r="M14" s="64">
        <f>ROUND(VLOOKUP($A14,'Contribution Allocation_Report'!$A$9:$D$311,4,FALSE)*$M$326,0)</f>
        <v>-66502</v>
      </c>
      <c r="N14" s="64">
        <f>ROUND(VLOOKUP($A14,'Contribution Allocation_Report'!$A$9:$D$311,4,FALSE)*$N$326,0)</f>
        <v>-100262</v>
      </c>
      <c r="O14" s="64">
        <f>ROUND(VLOOKUP($A14,'Contribution Allocation_Report'!$A$9:$D$311,4,FALSE)*$O$326,0)</f>
        <v>-57116</v>
      </c>
      <c r="Q14" s="64">
        <f>+K14+VLOOKUP(A14,'Change in Proportion Layers'!$A$8:$N$324,3,FALSE)+VLOOKUP(A14,'Change in Proportion Layers'!$A$8:$Y$324,10,FALSE)+VLOOKUP(A14,'Change in Proportion Layers'!$A$8:$Y$324,16,FALSE)+VLOOKUP(A14,'Change in Proportion Layers'!$A$8:$Y$324,21,FALSE)+VLOOKUP(A14,'Change in Proportion Layers'!$A$8:$Y$324,25,FALSE)</f>
        <v>-227715</v>
      </c>
      <c r="R14" s="64">
        <f>+L14+VLOOKUP(A14,'Change in Proportion Layers'!$A$8:$Y$324,4,FALSE)+VLOOKUP(A14,'Change in Proportion Layers'!$A$8:$Y$324,11,FALSE)+VLOOKUP(A14,'Change in Proportion Layers'!$A$8:$Y$324,17,FALSE)+VLOOKUP(A14,'Change in Proportion Layers'!$A$8:$Y$324,22,FALSE)</f>
        <v>-151398</v>
      </c>
      <c r="S14" s="64">
        <f>+M14+VLOOKUP(A14,'Change in Proportion Layers'!$A$8:$Y$324,5,FALSE)+VLOOKUP(A14,'Change in Proportion Layers'!$A$8:$Y$324,12,FALSE)+VLOOKUP(A14,'Change in Proportion Layers'!$A$8:$Y$324,18,FALSE)</f>
        <v>-72594</v>
      </c>
      <c r="T14" s="64">
        <f>+N14+VLOOKUP(A14,'Change in Proportion Layers'!$A$8:$Y$324,6,FALSE)+VLOOKUP(A14,'Change in Proportion Layers'!$A$8:$Y$324,13,FALSE)</f>
        <v>-81052</v>
      </c>
      <c r="U14" s="64">
        <f>+O14+VLOOKUP(A14,'Change in Proportion Layers'!$A$8:$Y$324,7,FALSE)-1</f>
        <v>-55844</v>
      </c>
      <c r="W14" s="64">
        <f>('OPEB Amounts_Report'!H14-'OPEB Amounts_Report'!M14)</f>
        <v>-588603</v>
      </c>
      <c r="X14" s="129">
        <f>SUM(Q14:U14)-('OPEB Amounts_Report'!H14-'OPEB Amounts_Report'!M14)</f>
        <v>0</v>
      </c>
    </row>
    <row r="15" spans="1:24">
      <c r="A15" s="187">
        <v>2441</v>
      </c>
      <c r="B15" s="188" t="s">
        <v>437</v>
      </c>
      <c r="C15" s="5">
        <f t="shared" si="0"/>
        <v>30847</v>
      </c>
      <c r="D15" s="5">
        <f t="shared" si="0"/>
        <v>42531</v>
      </c>
      <c r="E15" s="5">
        <f t="shared" si="0"/>
        <v>54848</v>
      </c>
      <c r="F15" s="5">
        <f t="shared" si="0"/>
        <v>44024</v>
      </c>
      <c r="G15" s="5">
        <f t="shared" si="0"/>
        <v>-8915</v>
      </c>
      <c r="I15" s="186"/>
      <c r="K15" s="64">
        <f>ROUND(VLOOKUP($A15,'Contribution Allocation_Report'!$A$9:$D$311,4,FALSE)*$K$326,0)</f>
        <v>-42746</v>
      </c>
      <c r="L15" s="64">
        <f>ROUND(VLOOKUP($A15,'Contribution Allocation_Report'!$A$9:$D$311,4,FALSE)*$L$326,0)</f>
        <v>-31062</v>
      </c>
      <c r="M15" s="64">
        <f>ROUND(VLOOKUP($A15,'Contribution Allocation_Report'!$A$9:$D$311,4,FALSE)*$M$326,0)</f>
        <v>-18745</v>
      </c>
      <c r="N15" s="64">
        <f>ROUND(VLOOKUP($A15,'Contribution Allocation_Report'!$A$9:$D$311,4,FALSE)*$N$326,0)</f>
        <v>-28261</v>
      </c>
      <c r="O15" s="64">
        <f>ROUND(VLOOKUP($A15,'Contribution Allocation_Report'!$A$9:$D$311,4,FALSE)*$O$326,0)</f>
        <v>-16099</v>
      </c>
      <c r="Q15" s="64">
        <f>+K15+VLOOKUP(A15,'Change in Proportion Layers'!$A$8:$N$324,3,FALSE)+VLOOKUP(A15,'Change in Proportion Layers'!$A$8:$Y$324,10,FALSE)+VLOOKUP(A15,'Change in Proportion Layers'!$A$8:$Y$324,16,FALSE)+VLOOKUP(A15,'Change in Proportion Layers'!$A$8:$Y$324,21,FALSE)+VLOOKUP(A15,'Change in Proportion Layers'!$A$8:$Y$324,25,FALSE)</f>
        <v>30847</v>
      </c>
      <c r="R15" s="64">
        <f>+L15+VLOOKUP(A15,'Change in Proportion Layers'!$A$8:$Y$324,4,FALSE)+VLOOKUP(A15,'Change in Proportion Layers'!$A$8:$Y$324,11,FALSE)+VLOOKUP(A15,'Change in Proportion Layers'!$A$8:$Y$324,17,FALSE)+VLOOKUP(A15,'Change in Proportion Layers'!$A$8:$Y$324,22,FALSE)</f>
        <v>42531</v>
      </c>
      <c r="S15" s="64">
        <f>+M15+VLOOKUP(A15,'Change in Proportion Layers'!$A$8:$Y$324,5,FALSE)+VLOOKUP(A15,'Change in Proportion Layers'!$A$8:$Y$324,12,FALSE)+VLOOKUP(A15,'Change in Proportion Layers'!$A$8:$Y$324,18,FALSE)</f>
        <v>54848</v>
      </c>
      <c r="T15" s="64">
        <f>+N15+VLOOKUP(A15,'Change in Proportion Layers'!$A$8:$Y$324,6,FALSE)+VLOOKUP(A15,'Change in Proportion Layers'!$A$8:$Y$324,13,FALSE)</f>
        <v>44024</v>
      </c>
      <c r="U15" s="64">
        <f>+O15+VLOOKUP(A15,'Change in Proportion Layers'!$A$8:$Y$324,7,FALSE)+1</f>
        <v>-8915</v>
      </c>
      <c r="W15" s="64">
        <f>('OPEB Amounts_Report'!H15-'OPEB Amounts_Report'!M15)</f>
        <v>163335</v>
      </c>
      <c r="X15" s="129">
        <f>SUM(Q15:U15)-('OPEB Amounts_Report'!H15-'OPEB Amounts_Report'!M15)</f>
        <v>0</v>
      </c>
    </row>
    <row r="16" spans="1:24">
      <c r="A16" s="184">
        <v>15046</v>
      </c>
      <c r="B16" s="185" t="s">
        <v>10</v>
      </c>
      <c r="C16" s="63">
        <f t="shared" si="0"/>
        <v>-3116526</v>
      </c>
      <c r="D16" s="63">
        <f t="shared" si="0"/>
        <v>-2180747</v>
      </c>
      <c r="E16" s="63">
        <f t="shared" si="0"/>
        <v>-1273593</v>
      </c>
      <c r="F16" s="63">
        <f t="shared" si="0"/>
        <v>-2340004</v>
      </c>
      <c r="G16" s="63">
        <f t="shared" si="0"/>
        <v>-1383796</v>
      </c>
      <c r="I16" s="186"/>
      <c r="K16" s="64">
        <f>ROUND(VLOOKUP($A16,'Contribution Allocation_Report'!$A$9:$D$311,4,FALSE)*$K$326,0)</f>
        <v>-3132238</v>
      </c>
      <c r="L16" s="64">
        <f>ROUND(VLOOKUP($A16,'Contribution Allocation_Report'!$A$9:$D$311,4,FALSE)*$L$326,0)</f>
        <v>-2276060</v>
      </c>
      <c r="M16" s="64">
        <f>ROUND(VLOOKUP($A16,'Contribution Allocation_Report'!$A$9:$D$311,4,FALSE)*$M$326,0)</f>
        <v>-1373523</v>
      </c>
      <c r="N16" s="64">
        <f>ROUND(VLOOKUP($A16,'Contribution Allocation_Report'!$A$9:$D$311,4,FALSE)*$N$326,0)</f>
        <v>-2070820</v>
      </c>
      <c r="O16" s="64">
        <f>ROUND(VLOOKUP($A16,'Contribution Allocation_Report'!$A$9:$D$311,4,FALSE)*$O$326,0)</f>
        <v>-1179683</v>
      </c>
      <c r="Q16" s="64">
        <f>+K16+VLOOKUP(A16,'Change in Proportion Layers'!$A$8:$N$324,3,FALSE)+VLOOKUP(A16,'Change in Proportion Layers'!$A$8:$Y$324,10,FALSE)+VLOOKUP(A16,'Change in Proportion Layers'!$A$8:$Y$324,16,FALSE)+VLOOKUP(A16,'Change in Proportion Layers'!$A$8:$Y$324,21,FALSE)+VLOOKUP(A16,'Change in Proportion Layers'!$A$8:$Y$324,25,FALSE)</f>
        <v>-3116526</v>
      </c>
      <c r="R16" s="64">
        <f>+L16+VLOOKUP(A16,'Change in Proportion Layers'!$A$8:$Y$324,4,FALSE)+VLOOKUP(A16,'Change in Proportion Layers'!$A$8:$Y$324,11,FALSE)+VLOOKUP(A16,'Change in Proportion Layers'!$A$8:$Y$324,17,FALSE)+VLOOKUP(A16,'Change in Proportion Layers'!$A$8:$Y$324,22,FALSE)</f>
        <v>-2180747</v>
      </c>
      <c r="S16" s="64">
        <f>+M16+VLOOKUP(A16,'Change in Proportion Layers'!$A$8:$Y$324,5,FALSE)+VLOOKUP(A16,'Change in Proportion Layers'!$A$8:$Y$324,12,FALSE)+VLOOKUP(A16,'Change in Proportion Layers'!$A$8:$Y$324,18,FALSE)</f>
        <v>-1273593</v>
      </c>
      <c r="T16" s="64">
        <f>+N16+VLOOKUP(A16,'Change in Proportion Layers'!$A$8:$Y$324,6,FALSE)+VLOOKUP(A16,'Change in Proportion Layers'!$A$8:$Y$324,13,FALSE)</f>
        <v>-2340004</v>
      </c>
      <c r="U16" s="64">
        <f>+O16+VLOOKUP(A16,'Change in Proportion Layers'!$A$8:$Y$324,7,FALSE)-1</f>
        <v>-1383796</v>
      </c>
      <c r="W16" s="64">
        <f>('OPEB Amounts_Report'!H16-'OPEB Amounts_Report'!M16)</f>
        <v>-10294666</v>
      </c>
      <c r="X16" s="129">
        <f>SUM(Q16:U16)-('OPEB Amounts_Report'!H16-'OPEB Amounts_Report'!M16)</f>
        <v>0</v>
      </c>
    </row>
    <row r="17" spans="1:24">
      <c r="A17" s="187">
        <v>4380</v>
      </c>
      <c r="B17" s="188" t="s">
        <v>11</v>
      </c>
      <c r="C17" s="5">
        <f t="shared" si="0"/>
        <v>-4040583</v>
      </c>
      <c r="D17" s="5">
        <f t="shared" si="0"/>
        <v>-3016843</v>
      </c>
      <c r="E17" s="5">
        <f t="shared" si="0"/>
        <v>-1966820</v>
      </c>
      <c r="F17" s="5">
        <f t="shared" si="0"/>
        <v>-2282026</v>
      </c>
      <c r="G17" s="5">
        <f t="shared" si="0"/>
        <v>-1391048</v>
      </c>
      <c r="I17" s="186"/>
      <c r="K17" s="64">
        <f>ROUND(VLOOKUP($A17,'Contribution Allocation_Report'!$A$9:$D$311,4,FALSE)*$K$326,0)</f>
        <v>-3263628</v>
      </c>
      <c r="L17" s="64">
        <f>ROUND(VLOOKUP($A17,'Contribution Allocation_Report'!$A$9:$D$311,4,FALSE)*$L$326,0)</f>
        <v>-2371536</v>
      </c>
      <c r="M17" s="64">
        <f>ROUND(VLOOKUP($A17,'Contribution Allocation_Report'!$A$9:$D$311,4,FALSE)*$M$326,0)</f>
        <v>-1431139</v>
      </c>
      <c r="N17" s="64">
        <f>ROUND(VLOOKUP($A17,'Contribution Allocation_Report'!$A$9:$D$311,4,FALSE)*$N$326,0)</f>
        <v>-2157686</v>
      </c>
      <c r="O17" s="64">
        <f>ROUND(VLOOKUP($A17,'Contribution Allocation_Report'!$A$9:$D$311,4,FALSE)*$O$326,0)</f>
        <v>-1229168</v>
      </c>
      <c r="Q17" s="64">
        <f>+K17+VLOOKUP(A17,'Change in Proportion Layers'!$A$8:$N$324,3,FALSE)+VLOOKUP(A17,'Change in Proportion Layers'!$A$8:$Y$324,10,FALSE)+VLOOKUP(A17,'Change in Proportion Layers'!$A$8:$Y$324,16,FALSE)+VLOOKUP(A17,'Change in Proportion Layers'!$A$8:$Y$324,21,FALSE)+VLOOKUP(A17,'Change in Proportion Layers'!$A$8:$Y$324,25,FALSE)</f>
        <v>-4040583</v>
      </c>
      <c r="R17" s="64">
        <f>+L17+VLOOKUP(A17,'Change in Proportion Layers'!$A$8:$Y$324,4,FALSE)+VLOOKUP(A17,'Change in Proportion Layers'!$A$8:$Y$324,11,FALSE)+VLOOKUP(A17,'Change in Proportion Layers'!$A$8:$Y$324,17,FALSE)+VLOOKUP(A17,'Change in Proportion Layers'!$A$8:$Y$324,22,FALSE)</f>
        <v>-3016843</v>
      </c>
      <c r="S17" s="64">
        <f>+M17+VLOOKUP(A17,'Change in Proportion Layers'!$A$8:$Y$324,5,FALSE)+VLOOKUP(A17,'Change in Proportion Layers'!$A$8:$Y$324,12,FALSE)+VLOOKUP(A17,'Change in Proportion Layers'!$A$8:$Y$324,18,FALSE)</f>
        <v>-1966820</v>
      </c>
      <c r="T17" s="64">
        <f>+N17+VLOOKUP(A17,'Change in Proportion Layers'!$A$8:$Y$324,6,FALSE)+VLOOKUP(A17,'Change in Proportion Layers'!$A$8:$Y$324,13,FALSE)</f>
        <v>-2282026</v>
      </c>
      <c r="U17" s="64">
        <f>+O17+VLOOKUP(A17,'Change in Proportion Layers'!$A$8:$Y$324,7,FALSE)</f>
        <v>-1391048</v>
      </c>
      <c r="W17" s="64">
        <f>('OPEB Amounts_Report'!H17-'OPEB Amounts_Report'!M17)</f>
        <v>-12697320</v>
      </c>
      <c r="X17" s="129">
        <f>SUM(Q17:U17)-('OPEB Amounts_Report'!H17-'OPEB Amounts_Report'!M17)</f>
        <v>0</v>
      </c>
    </row>
    <row r="18" spans="1:24">
      <c r="A18" s="184">
        <v>2343</v>
      </c>
      <c r="B18" s="185" t="s">
        <v>438</v>
      </c>
      <c r="C18" s="63">
        <f>+Q18</f>
        <v>-232586</v>
      </c>
      <c r="D18" s="63">
        <f>+R18</f>
        <v>-144019</v>
      </c>
      <c r="E18" s="63">
        <f>+S18</f>
        <v>-110696</v>
      </c>
      <c r="F18" s="63">
        <f>+T18</f>
        <v>-134585</v>
      </c>
      <c r="G18" s="63">
        <f>+U18</f>
        <v>-97250</v>
      </c>
      <c r="I18" s="186"/>
      <c r="K18" s="64">
        <f>ROUND(VLOOKUP($A18,'Contribution Allocation_Report'!$A$9:$D$311,4,FALSE)*$K$326,0)</f>
        <v>-203101</v>
      </c>
      <c r="L18" s="64">
        <f>ROUND(VLOOKUP($A18,'Contribution Allocation_Report'!$A$9:$D$311,4,FALSE)*$L$326,0)</f>
        <v>-147585</v>
      </c>
      <c r="M18" s="64">
        <f>ROUND(VLOOKUP($A18,'Contribution Allocation_Report'!$A$9:$D$311,4,FALSE)*$M$326,0)</f>
        <v>-89062</v>
      </c>
      <c r="N18" s="64">
        <f>ROUND(VLOOKUP($A18,'Contribution Allocation_Report'!$A$9:$D$311,4,FALSE)*$N$326,0)</f>
        <v>-134277</v>
      </c>
      <c r="O18" s="64">
        <f>ROUND(VLOOKUP($A18,'Contribution Allocation_Report'!$A$9:$D$311,4,FALSE)*$O$326,0)</f>
        <v>-76493</v>
      </c>
      <c r="Q18" s="64">
        <f>+K18+VLOOKUP(A18,'Change in Proportion Layers'!$A$8:$N$324,3,FALSE)+VLOOKUP(A18,'Change in Proportion Layers'!$A$8:$Y$324,10,FALSE)+VLOOKUP(A18,'Change in Proportion Layers'!$A$8:$Y$324,16,FALSE)+VLOOKUP(A18,'Change in Proportion Layers'!$A$8:$Y$324,21,FALSE)+VLOOKUP(A18,'Change in Proportion Layers'!$A$8:$Y$324,25,FALSE)</f>
        <v>-232586</v>
      </c>
      <c r="R18" s="64">
        <f>+L18+VLOOKUP(A18,'Change in Proportion Layers'!$A$8:$Y$324,4,FALSE)+VLOOKUP(A18,'Change in Proportion Layers'!$A$8:$Y$324,11,FALSE)+VLOOKUP(A18,'Change in Proportion Layers'!$A$8:$Y$324,17,FALSE)+VLOOKUP(A18,'Change in Proportion Layers'!$A$8:$Y$324,22,FALSE)</f>
        <v>-144019</v>
      </c>
      <c r="S18" s="64">
        <f>+M18+VLOOKUP(A18,'Change in Proportion Layers'!$A$8:$Y$324,5,FALSE)+VLOOKUP(A18,'Change in Proportion Layers'!$A$8:$Y$324,12,FALSE)+VLOOKUP(A18,'Change in Proportion Layers'!$A$8:$Y$324,18,FALSE)</f>
        <v>-110696</v>
      </c>
      <c r="T18" s="64">
        <f>+N18+VLOOKUP(A18,'Change in Proportion Layers'!$A$8:$Y$324,6,FALSE)+VLOOKUP(A18,'Change in Proportion Layers'!$A$8:$Y$324,13,FALSE)</f>
        <v>-134585</v>
      </c>
      <c r="U18" s="64">
        <f>+O18+VLOOKUP(A18,'Change in Proportion Layers'!$A$8:$Y$324,7,FALSE)</f>
        <v>-97250</v>
      </c>
      <c r="W18" s="64">
        <f>('OPEB Amounts_Report'!H138-'OPEB Amounts_Report'!M138)</f>
        <v>-368162</v>
      </c>
      <c r="X18" s="129">
        <f>SUM(Q18:U18)-('OPEB Amounts_Report'!H18-'OPEB Amounts_Report'!M18)</f>
        <v>0</v>
      </c>
    </row>
    <row r="19" spans="1:24">
      <c r="A19" s="187">
        <v>2435</v>
      </c>
      <c r="B19" s="188" t="s">
        <v>408</v>
      </c>
      <c r="C19" s="5">
        <f t="shared" si="0"/>
        <v>74125</v>
      </c>
      <c r="D19" s="5">
        <f t="shared" si="0"/>
        <v>73696</v>
      </c>
      <c r="E19" s="5">
        <f t="shared" si="0"/>
        <v>55166</v>
      </c>
      <c r="F19" s="5">
        <f t="shared" si="0"/>
        <v>12475</v>
      </c>
      <c r="G19" s="5">
        <f t="shared" si="0"/>
        <v>-2935</v>
      </c>
      <c r="I19" s="186"/>
      <c r="K19" s="64">
        <f>ROUND(VLOOKUP($A19,'Contribution Allocation_Report'!$A$9:$D$311,4,FALSE)*$K$326,0)</f>
        <v>-87483</v>
      </c>
      <c r="L19" s="64">
        <f>ROUND(VLOOKUP($A19,'Contribution Allocation_Report'!$A$9:$D$311,4,FALSE)*$L$326,0)</f>
        <v>-63570</v>
      </c>
      <c r="M19" s="64">
        <f>ROUND(VLOOKUP($A19,'Contribution Allocation_Report'!$A$9:$D$311,4,FALSE)*$M$326,0)</f>
        <v>-38362</v>
      </c>
      <c r="N19" s="64">
        <f>ROUND(VLOOKUP($A19,'Contribution Allocation_Report'!$A$9:$D$311,4,FALSE)*$N$326,0)</f>
        <v>-57838</v>
      </c>
      <c r="O19" s="64">
        <f>ROUND(VLOOKUP($A19,'Contribution Allocation_Report'!$A$9:$D$311,4,FALSE)*$O$326,0)</f>
        <v>-32948</v>
      </c>
      <c r="Q19" s="64">
        <f>+K19+VLOOKUP(A19,'Change in Proportion Layers'!$A$8:$N$324,3,FALSE)+VLOOKUP(A19,'Change in Proportion Layers'!$A$8:$Y$324,10,FALSE)+VLOOKUP(A19,'Change in Proportion Layers'!$A$8:$Y$324,16,FALSE)+VLOOKUP(A19,'Change in Proportion Layers'!$A$8:$Y$324,21,FALSE)+VLOOKUP(A19,'Change in Proportion Layers'!$A$8:$Y$324,25,FALSE)</f>
        <v>74125</v>
      </c>
      <c r="R19" s="64">
        <f>+L19+VLOOKUP(A19,'Change in Proportion Layers'!$A$8:$Y$324,4,FALSE)+VLOOKUP(A19,'Change in Proportion Layers'!$A$8:$Y$324,11,FALSE)+VLOOKUP(A19,'Change in Proportion Layers'!$A$8:$Y$324,17,FALSE)+VLOOKUP(A19,'Change in Proportion Layers'!$A$8:$Y$324,22,FALSE)</f>
        <v>73696</v>
      </c>
      <c r="S19" s="64">
        <f>+M19+VLOOKUP(A19,'Change in Proportion Layers'!$A$8:$Y$324,5,FALSE)+VLOOKUP(A19,'Change in Proportion Layers'!$A$8:$Y$324,12,FALSE)+VLOOKUP(A19,'Change in Proportion Layers'!$A$8:$Y$324,18,FALSE)</f>
        <v>55166</v>
      </c>
      <c r="T19" s="64">
        <f>+N19+VLOOKUP(A19,'Change in Proportion Layers'!$A$8:$Y$324,6,FALSE)+VLOOKUP(A19,'Change in Proportion Layers'!$A$8:$Y$324,13,FALSE)</f>
        <v>12475</v>
      </c>
      <c r="U19" s="64">
        <f>+O19+VLOOKUP(A19,'Change in Proportion Layers'!$A$8:$Y$324,7,FALSE)-1</f>
        <v>-2935</v>
      </c>
      <c r="W19" s="64">
        <f>('OPEB Amounts_Report'!H18-'OPEB Amounts_Report'!M18)</f>
        <v>-719136</v>
      </c>
      <c r="X19" s="129">
        <f>SUM(Q19:U19)-('OPEB Amounts_Report'!H19-'OPEB Amounts_Report'!M19)</f>
        <v>0</v>
      </c>
    </row>
    <row r="20" spans="1:24">
      <c r="A20" s="184">
        <v>4560</v>
      </c>
      <c r="B20" s="185" t="s">
        <v>12</v>
      </c>
      <c r="C20" s="63">
        <f t="shared" si="0"/>
        <v>-351577</v>
      </c>
      <c r="D20" s="63">
        <f t="shared" si="0"/>
        <v>-228281</v>
      </c>
      <c r="E20" s="63">
        <f t="shared" si="0"/>
        <v>-128194</v>
      </c>
      <c r="F20" s="63">
        <f t="shared" si="0"/>
        <v>-172956</v>
      </c>
      <c r="G20" s="63">
        <f t="shared" si="0"/>
        <v>-132803</v>
      </c>
      <c r="I20" s="186"/>
      <c r="K20" s="64">
        <f>ROUND(VLOOKUP($A20,'Contribution Allocation_Report'!$A$9:$D$311,4,FALSE)*$K$326,0)</f>
        <v>-272881</v>
      </c>
      <c r="L20" s="64">
        <f>ROUND(VLOOKUP($A20,'Contribution Allocation_Report'!$A$9:$D$311,4,FALSE)*$L$326,0)</f>
        <v>-198291</v>
      </c>
      <c r="M20" s="64">
        <f>ROUND(VLOOKUP($A20,'Contribution Allocation_Report'!$A$9:$D$311,4,FALSE)*$M$326,0)</f>
        <v>-119662</v>
      </c>
      <c r="N20" s="64">
        <f>ROUND(VLOOKUP($A20,'Contribution Allocation_Report'!$A$9:$D$311,4,FALSE)*$N$326,0)</f>
        <v>-180410</v>
      </c>
      <c r="O20" s="64">
        <f>ROUND(VLOOKUP($A20,'Contribution Allocation_Report'!$A$9:$D$311,4,FALSE)*$O$326,0)</f>
        <v>-102774</v>
      </c>
      <c r="Q20" s="64">
        <f>+K20+VLOOKUP(A20,'Change in Proportion Layers'!$A$8:$N$324,3,FALSE)+VLOOKUP(A20,'Change in Proportion Layers'!$A$8:$Y$324,10,FALSE)+VLOOKUP(A20,'Change in Proportion Layers'!$A$8:$Y$324,16,FALSE)+VLOOKUP(A20,'Change in Proportion Layers'!$A$8:$Y$324,21,FALSE)+VLOOKUP(A20,'Change in Proportion Layers'!$A$8:$Y$324,25,FALSE)</f>
        <v>-351577</v>
      </c>
      <c r="R20" s="64">
        <f>+L20+VLOOKUP(A20,'Change in Proportion Layers'!$A$8:$Y$324,4,FALSE)+VLOOKUP(A20,'Change in Proportion Layers'!$A$8:$Y$324,11,FALSE)+VLOOKUP(A20,'Change in Proportion Layers'!$A$8:$Y$324,17,FALSE)+VLOOKUP(A20,'Change in Proportion Layers'!$A$8:$Y$324,22,FALSE)</f>
        <v>-228281</v>
      </c>
      <c r="S20" s="64">
        <f>+M20+VLOOKUP(A20,'Change in Proportion Layers'!$A$8:$Y$324,5,FALSE)+VLOOKUP(A20,'Change in Proportion Layers'!$A$8:$Y$324,12,FALSE)+VLOOKUP(A20,'Change in Proportion Layers'!$A$8:$Y$324,18,FALSE)</f>
        <v>-128194</v>
      </c>
      <c r="T20" s="64">
        <f>+N20+VLOOKUP(A20,'Change in Proportion Layers'!$A$8:$Y$324,6,FALSE)+VLOOKUP(A20,'Change in Proportion Layers'!$A$8:$Y$324,13,FALSE)</f>
        <v>-172956</v>
      </c>
      <c r="U20" s="64">
        <f>+O20+VLOOKUP(A20,'Change in Proportion Layers'!$A$8:$Y$324,7,FALSE)-1</f>
        <v>-132803</v>
      </c>
      <c r="W20" s="64">
        <f>('OPEB Amounts_Report'!H19-'OPEB Amounts_Report'!M19)</f>
        <v>212527</v>
      </c>
      <c r="X20" s="129">
        <f>SUM(Q20:U20)-('OPEB Amounts_Report'!H20-'OPEB Amounts_Report'!M20)</f>
        <v>0</v>
      </c>
    </row>
    <row r="21" spans="1:24">
      <c r="A21" s="187">
        <v>2341</v>
      </c>
      <c r="B21" s="188" t="s">
        <v>434</v>
      </c>
      <c r="C21" s="5">
        <f t="shared" si="0"/>
        <v>-207739</v>
      </c>
      <c r="D21" s="5">
        <f t="shared" si="0"/>
        <v>-143444</v>
      </c>
      <c r="E21" s="5">
        <f t="shared" si="0"/>
        <v>-100289</v>
      </c>
      <c r="F21" s="5">
        <f t="shared" si="0"/>
        <v>-128438</v>
      </c>
      <c r="G21" s="5">
        <f t="shared" si="0"/>
        <v>-65752</v>
      </c>
      <c r="I21" s="186"/>
      <c r="K21" s="64">
        <f>ROUND(VLOOKUP($A21,'Contribution Allocation_Report'!$A$9:$D$311,4,FALSE)*$K$326,0)</f>
        <v>-171907</v>
      </c>
      <c r="L21" s="64">
        <f>ROUND(VLOOKUP($A21,'Contribution Allocation_Report'!$A$9:$D$311,4,FALSE)*$L$326,0)</f>
        <v>-124917</v>
      </c>
      <c r="M21" s="64">
        <f>ROUND(VLOOKUP($A21,'Contribution Allocation_Report'!$A$9:$D$311,4,FALSE)*$M$326,0)</f>
        <v>-75383</v>
      </c>
      <c r="N21" s="64">
        <f>ROUND(VLOOKUP($A21,'Contribution Allocation_Report'!$A$9:$D$311,4,FALSE)*$N$326,0)</f>
        <v>-113653</v>
      </c>
      <c r="O21" s="64">
        <f>ROUND(VLOOKUP($A21,'Contribution Allocation_Report'!$A$9:$D$311,4,FALSE)*$O$326,0)</f>
        <v>-64745</v>
      </c>
      <c r="Q21" s="64">
        <f>+K21+VLOOKUP(A21,'Change in Proportion Layers'!$A$8:$N$324,3,FALSE)+VLOOKUP(A21,'Change in Proportion Layers'!$A$8:$Y$324,10,FALSE)+VLOOKUP(A21,'Change in Proportion Layers'!$A$8:$Y$324,16,FALSE)+VLOOKUP(A21,'Change in Proportion Layers'!$A$8:$Y$324,21,FALSE)+VLOOKUP(A21,'Change in Proportion Layers'!$A$8:$Y$324,25,FALSE)</f>
        <v>-207739</v>
      </c>
      <c r="R21" s="64">
        <f>+L21+VLOOKUP(A21,'Change in Proportion Layers'!$A$8:$Y$324,4,FALSE)+VLOOKUP(A21,'Change in Proportion Layers'!$A$8:$Y$324,11,FALSE)+VLOOKUP(A21,'Change in Proportion Layers'!$A$8:$Y$324,17,FALSE)+VLOOKUP(A21,'Change in Proportion Layers'!$A$8:$Y$324,22,FALSE)</f>
        <v>-143444</v>
      </c>
      <c r="S21" s="64">
        <f>+M21+VLOOKUP(A21,'Change in Proportion Layers'!$A$8:$Y$324,5,FALSE)+VLOOKUP(A21,'Change in Proportion Layers'!$A$8:$Y$324,12,FALSE)+VLOOKUP(A21,'Change in Proportion Layers'!$A$8:$Y$324,18,FALSE)</f>
        <v>-100289</v>
      </c>
      <c r="T21" s="64">
        <f>+N21+VLOOKUP(A21,'Change in Proportion Layers'!$A$8:$Y$324,6,FALSE)+VLOOKUP(A21,'Change in Proportion Layers'!$A$8:$Y$324,13,FALSE)</f>
        <v>-128438</v>
      </c>
      <c r="U21" s="64">
        <f>+O21+VLOOKUP(A21,'Change in Proportion Layers'!$A$8:$Y$324,7,FALSE)+1</f>
        <v>-65752</v>
      </c>
      <c r="W21" s="64">
        <f>('OPEB Amounts_Report'!H20-'OPEB Amounts_Report'!M20)+1</f>
        <v>-1013810</v>
      </c>
      <c r="X21" s="129">
        <f>SUM(Q21:U21)-('OPEB Amounts_Report'!H21-'OPEB Amounts_Report'!M21)</f>
        <v>0</v>
      </c>
    </row>
    <row r="22" spans="1:24">
      <c r="A22" s="184">
        <v>4580</v>
      </c>
      <c r="B22" s="185" t="s">
        <v>409</v>
      </c>
      <c r="C22" s="63">
        <f t="shared" si="0"/>
        <v>163396</v>
      </c>
      <c r="D22" s="63">
        <f t="shared" si="0"/>
        <v>87561</v>
      </c>
      <c r="E22" s="63">
        <f t="shared" si="0"/>
        <v>-76791</v>
      </c>
      <c r="F22" s="63">
        <f t="shared" si="0"/>
        <v>-92954</v>
      </c>
      <c r="G22" s="63">
        <f t="shared" si="0"/>
        <v>-47822</v>
      </c>
      <c r="I22" s="186"/>
      <c r="K22" s="64">
        <f>ROUND(VLOOKUP($A22,'Contribution Allocation_Report'!$A$9:$D$311,4,FALSE)*$K$326,0)</f>
        <v>-151134</v>
      </c>
      <c r="L22" s="64">
        <f>ROUND(VLOOKUP($A22,'Contribution Allocation_Report'!$A$9:$D$311,4,FALSE)*$L$326,0)</f>
        <v>-109823</v>
      </c>
      <c r="M22" s="64">
        <f>ROUND(VLOOKUP($A22,'Contribution Allocation_Report'!$A$9:$D$311,4,FALSE)*$M$326,0)</f>
        <v>-66274</v>
      </c>
      <c r="N22" s="64">
        <f>ROUND(VLOOKUP($A22,'Contribution Allocation_Report'!$A$9:$D$311,4,FALSE)*$N$326,0)</f>
        <v>-99920</v>
      </c>
      <c r="O22" s="64">
        <f>ROUND(VLOOKUP($A22,'Contribution Allocation_Report'!$A$9:$D$311,4,FALSE)*$O$326,0)</f>
        <v>-56921</v>
      </c>
      <c r="Q22" s="64">
        <f>+K22+VLOOKUP(A22,'Change in Proportion Layers'!$A$8:$N$324,3,FALSE)+VLOOKUP(A22,'Change in Proportion Layers'!$A$8:$Y$324,10,FALSE)+VLOOKUP(A22,'Change in Proportion Layers'!$A$8:$Y$324,16,FALSE)+VLOOKUP(A22,'Change in Proportion Layers'!$A$8:$Y$324,21,FALSE)+VLOOKUP(A22,'Change in Proportion Layers'!$A$8:$Y$324,25,FALSE)</f>
        <v>163396</v>
      </c>
      <c r="R22" s="64">
        <f>+L22+VLOOKUP(A22,'Change in Proportion Layers'!$A$8:$Y$324,4,FALSE)+VLOOKUP(A22,'Change in Proportion Layers'!$A$8:$Y$324,11,FALSE)+VLOOKUP(A22,'Change in Proportion Layers'!$A$8:$Y$324,17,FALSE)+VLOOKUP(A22,'Change in Proportion Layers'!$A$8:$Y$324,22,FALSE)</f>
        <v>87561</v>
      </c>
      <c r="S22" s="64">
        <f>+M22+VLOOKUP(A22,'Change in Proportion Layers'!$A$8:$Y$324,5,FALSE)+VLOOKUP(A22,'Change in Proportion Layers'!$A$8:$Y$324,12,FALSE)+VLOOKUP(A22,'Change in Proportion Layers'!$A$8:$Y$324,18,FALSE)</f>
        <v>-76791</v>
      </c>
      <c r="T22" s="64">
        <f>+N22+VLOOKUP(A22,'Change in Proportion Layers'!$A$8:$Y$324,6,FALSE)+VLOOKUP(A22,'Change in Proportion Layers'!$A$8:$Y$324,13,FALSE)</f>
        <v>-92954</v>
      </c>
      <c r="U22" s="64">
        <f>+O22+VLOOKUP(A22,'Change in Proportion Layers'!$A$8:$Y$324,7,FALSE)-1</f>
        <v>-47822</v>
      </c>
      <c r="W22" s="64">
        <f>('OPEB Amounts_Report'!H21-'OPEB Amounts_Report'!M21)</f>
        <v>-645662</v>
      </c>
      <c r="X22" s="129">
        <f>SUM(Q22:U22)-('OPEB Amounts_Report'!H22-'OPEB Amounts_Report'!M22)</f>
        <v>0</v>
      </c>
    </row>
    <row r="23" spans="1:24">
      <c r="A23" s="187">
        <v>2003</v>
      </c>
      <c r="B23" s="188" t="s">
        <v>13</v>
      </c>
      <c r="C23" s="5">
        <f t="shared" si="0"/>
        <v>-51235110</v>
      </c>
      <c r="D23" s="5">
        <f t="shared" si="0"/>
        <v>-35761719</v>
      </c>
      <c r="E23" s="5">
        <f t="shared" si="0"/>
        <v>-21370905</v>
      </c>
      <c r="F23" s="5">
        <f t="shared" si="0"/>
        <v>-36225609</v>
      </c>
      <c r="G23" s="5">
        <f t="shared" si="0"/>
        <v>-19254879</v>
      </c>
      <c r="I23" s="186"/>
      <c r="K23" s="64">
        <f>ROUND(VLOOKUP($A23,'Contribution Allocation_Report'!$A$9:$D$311,4,FALSE)*$K$326,0)</f>
        <v>-53319932</v>
      </c>
      <c r="L23" s="64">
        <f>ROUND(VLOOKUP($A23,'Contribution Allocation_Report'!$A$9:$D$311,4,FALSE)*$L$326,0)</f>
        <v>-38745265</v>
      </c>
      <c r="M23" s="64">
        <f>ROUND(VLOOKUP($A23,'Contribution Allocation_Report'!$A$9:$D$311,4,FALSE)*$M$326,0)</f>
        <v>-23381420</v>
      </c>
      <c r="N23" s="64">
        <f>ROUND(VLOOKUP($A23,'Contribution Allocation_Report'!$A$9:$D$311,4,FALSE)*$N$326,0)</f>
        <v>-35251475</v>
      </c>
      <c r="O23" s="64">
        <f>ROUND(VLOOKUP($A23,'Contribution Allocation_Report'!$A$9:$D$311,4,FALSE)*$O$326,0)</f>
        <v>-20081686</v>
      </c>
      <c r="Q23" s="64">
        <f>+K23+VLOOKUP(A23,'Change in Proportion Layers'!$A$8:$N$324,3,FALSE)+VLOOKUP(A23,'Change in Proportion Layers'!$A$8:$Y$324,10,FALSE)+VLOOKUP(A23,'Change in Proportion Layers'!$A$8:$Y$324,16,FALSE)+VLOOKUP(A23,'Change in Proportion Layers'!$A$8:$Y$324,21,FALSE)+VLOOKUP(A23,'Change in Proportion Layers'!$A$8:$Y$324,25,FALSE)</f>
        <v>-51235110</v>
      </c>
      <c r="R23" s="64">
        <f>+L23+VLOOKUP(A23,'Change in Proportion Layers'!$A$8:$Y$324,4,FALSE)+VLOOKUP(A23,'Change in Proportion Layers'!$A$8:$Y$324,11,FALSE)+VLOOKUP(A23,'Change in Proportion Layers'!$A$8:$Y$324,17,FALSE)+VLOOKUP(A23,'Change in Proportion Layers'!$A$8:$Y$324,22,FALSE)</f>
        <v>-35761719</v>
      </c>
      <c r="S23" s="64">
        <f>+M23+VLOOKUP(A23,'Change in Proportion Layers'!$A$8:$Y$324,5,FALSE)+VLOOKUP(A23,'Change in Proportion Layers'!$A$8:$Y$324,12,FALSE)+VLOOKUP(A23,'Change in Proportion Layers'!$A$8:$Y$324,18,FALSE)</f>
        <v>-21370905</v>
      </c>
      <c r="T23" s="64">
        <f>+N23+VLOOKUP(A23,'Change in Proportion Layers'!$A$8:$Y$324,6,FALSE)+VLOOKUP(A23,'Change in Proportion Layers'!$A$8:$Y$324,13,FALSE)</f>
        <v>-36225609</v>
      </c>
      <c r="U23" s="64">
        <f>+O23+VLOOKUP(A23,'Change in Proportion Layers'!$A$8:$Y$324,7,FALSE)+1</f>
        <v>-19254879</v>
      </c>
      <c r="W23" s="64">
        <f>('OPEB Amounts_Report'!H22-'OPEB Amounts_Report'!M22)</f>
        <v>33390</v>
      </c>
      <c r="X23" s="129">
        <f>SUM(Q23:U23)-('OPEB Amounts_Report'!H23-'OPEB Amounts_Report'!M23)</f>
        <v>0</v>
      </c>
    </row>
    <row r="24" spans="1:24">
      <c r="A24" s="184">
        <v>2412</v>
      </c>
      <c r="B24" s="185" t="s">
        <v>14</v>
      </c>
      <c r="C24" s="63">
        <f t="shared" si="0"/>
        <v>62164</v>
      </c>
      <c r="D24" s="63">
        <f t="shared" si="0"/>
        <v>135179</v>
      </c>
      <c r="E24" s="63">
        <f t="shared" si="0"/>
        <v>199985</v>
      </c>
      <c r="F24" s="63">
        <f t="shared" si="0"/>
        <v>5143</v>
      </c>
      <c r="G24" s="63">
        <f t="shared" si="0"/>
        <v>-83731</v>
      </c>
      <c r="I24" s="186"/>
      <c r="K24" s="64">
        <f>ROUND(VLOOKUP($A24,'Contribution Allocation_Report'!$A$9:$D$311,4,FALSE)*$K$326,0)</f>
        <v>-486929</v>
      </c>
      <c r="L24" s="64">
        <f>ROUND(VLOOKUP($A24,'Contribution Allocation_Report'!$A$9:$D$311,4,FALSE)*$L$326,0)</f>
        <v>-353830</v>
      </c>
      <c r="M24" s="64">
        <f>ROUND(VLOOKUP($A24,'Contribution Allocation_Report'!$A$9:$D$311,4,FALSE)*$M$326,0)</f>
        <v>-213524</v>
      </c>
      <c r="N24" s="64">
        <f>ROUND(VLOOKUP($A24,'Contribution Allocation_Report'!$A$9:$D$311,4,FALSE)*$N$326,0)</f>
        <v>-321924</v>
      </c>
      <c r="O24" s="64">
        <f>ROUND(VLOOKUP($A24,'Contribution Allocation_Report'!$A$9:$D$311,4,FALSE)*$O$326,0)</f>
        <v>-183390</v>
      </c>
      <c r="Q24" s="64">
        <f>+K24+VLOOKUP(A24,'Change in Proportion Layers'!$A$8:$N$324,3,FALSE)+VLOOKUP(A24,'Change in Proportion Layers'!$A$8:$Y$324,10,FALSE)+VLOOKUP(A24,'Change in Proportion Layers'!$A$8:$Y$324,16,FALSE)+VLOOKUP(A24,'Change in Proportion Layers'!$A$8:$Y$324,21,FALSE)+VLOOKUP(A24,'Change in Proportion Layers'!$A$8:$Y$324,25,FALSE)</f>
        <v>62164</v>
      </c>
      <c r="R24" s="64">
        <f>+L24+VLOOKUP(A24,'Change in Proportion Layers'!$A$8:$Y$324,4,FALSE)+VLOOKUP(A24,'Change in Proportion Layers'!$A$8:$Y$324,11,FALSE)+VLOOKUP(A24,'Change in Proportion Layers'!$A$8:$Y$324,17,FALSE)+VLOOKUP(A24,'Change in Proportion Layers'!$A$8:$Y$324,22,FALSE)</f>
        <v>135179</v>
      </c>
      <c r="S24" s="64">
        <f>+M24+VLOOKUP(A24,'Change in Proportion Layers'!$A$8:$Y$324,5,FALSE)+VLOOKUP(A24,'Change in Proportion Layers'!$A$8:$Y$324,12,FALSE)+VLOOKUP(A24,'Change in Proportion Layers'!$A$8:$Y$324,18,FALSE)</f>
        <v>199985</v>
      </c>
      <c r="T24" s="64">
        <f>+N24+VLOOKUP(A24,'Change in Proportion Layers'!$A$8:$Y$324,6,FALSE)+VLOOKUP(A24,'Change in Proportion Layers'!$A$8:$Y$324,13,FALSE)</f>
        <v>5143</v>
      </c>
      <c r="U24" s="64">
        <f>+O24+VLOOKUP(A24,'Change in Proportion Layers'!$A$8:$Y$324,7,FALSE)+1</f>
        <v>-83731</v>
      </c>
      <c r="W24" s="64">
        <f>('OPEB Amounts_Report'!H23-'OPEB Amounts_Report'!M23)</f>
        <v>-163848222</v>
      </c>
      <c r="X24" s="129">
        <f>SUM(Q24:U24)-('OPEB Amounts_Report'!H24-'OPEB Amounts_Report'!M24)</f>
        <v>0</v>
      </c>
    </row>
    <row r="25" spans="1:24">
      <c r="A25" s="187">
        <v>2402</v>
      </c>
      <c r="B25" s="188" t="s">
        <v>15</v>
      </c>
      <c r="C25" s="5">
        <f t="shared" si="0"/>
        <v>-168731</v>
      </c>
      <c r="D25" s="5">
        <f t="shared" si="0"/>
        <v>-79291</v>
      </c>
      <c r="E25" s="5">
        <f t="shared" si="0"/>
        <v>1162</v>
      </c>
      <c r="F25" s="5">
        <f t="shared" si="0"/>
        <v>-51773</v>
      </c>
      <c r="G25" s="5">
        <f t="shared" si="0"/>
        <v>-35355</v>
      </c>
      <c r="I25" s="186"/>
      <c r="K25" s="64">
        <f>ROUND(VLOOKUP($A25,'Contribution Allocation_Report'!$A$9:$D$311,4,FALSE)*$K$326,0)</f>
        <v>-169058</v>
      </c>
      <c r="L25" s="64">
        <f>ROUND(VLOOKUP($A25,'Contribution Allocation_Report'!$A$9:$D$311,4,FALSE)*$L$326,0)</f>
        <v>-122847</v>
      </c>
      <c r="M25" s="64">
        <f>ROUND(VLOOKUP($A25,'Contribution Allocation_Report'!$A$9:$D$311,4,FALSE)*$M$326,0)</f>
        <v>-74134</v>
      </c>
      <c r="N25" s="64">
        <f>ROUND(VLOOKUP($A25,'Contribution Allocation_Report'!$A$9:$D$311,4,FALSE)*$N$326,0)</f>
        <v>-111769</v>
      </c>
      <c r="O25" s="64">
        <f>ROUND(VLOOKUP($A25,'Contribution Allocation_Report'!$A$9:$D$311,4,FALSE)*$O$326,0)</f>
        <v>-63672</v>
      </c>
      <c r="Q25" s="64">
        <f>+K25+VLOOKUP(A25,'Change in Proportion Layers'!$A$8:$N$324,3,FALSE)+VLOOKUP(A25,'Change in Proportion Layers'!$A$8:$Y$324,10,FALSE)+VLOOKUP(A25,'Change in Proportion Layers'!$A$8:$Y$324,16,FALSE)+VLOOKUP(A25,'Change in Proportion Layers'!$A$8:$Y$324,21,FALSE)+VLOOKUP(A25,'Change in Proportion Layers'!$A$8:$Y$324,25,FALSE)</f>
        <v>-168731</v>
      </c>
      <c r="R25" s="64">
        <f>+L25+VLOOKUP(A25,'Change in Proportion Layers'!$A$8:$Y$324,4,FALSE)+VLOOKUP(A25,'Change in Proportion Layers'!$A$8:$Y$324,11,FALSE)+VLOOKUP(A25,'Change in Proportion Layers'!$A$8:$Y$324,17,FALSE)+VLOOKUP(A25,'Change in Proportion Layers'!$A$8:$Y$324,22,FALSE)</f>
        <v>-79291</v>
      </c>
      <c r="S25" s="64">
        <f>+M25+VLOOKUP(A25,'Change in Proportion Layers'!$A$8:$Y$324,5,FALSE)+VLOOKUP(A25,'Change in Proportion Layers'!$A$8:$Y$324,12,FALSE)+VLOOKUP(A25,'Change in Proportion Layers'!$A$8:$Y$324,18,FALSE)</f>
        <v>1162</v>
      </c>
      <c r="T25" s="64">
        <f>+N25+VLOOKUP(A25,'Change in Proportion Layers'!$A$8:$Y$324,6,FALSE)+VLOOKUP(A25,'Change in Proportion Layers'!$A$8:$Y$324,13,FALSE)</f>
        <v>-51773</v>
      </c>
      <c r="U25" s="64">
        <f>+O25+VLOOKUP(A25,'Change in Proportion Layers'!$A$8:$Y$324,7,FALSE)+1</f>
        <v>-35355</v>
      </c>
      <c r="W25" s="64">
        <f>('OPEB Amounts_Report'!H24-'OPEB Amounts_Report'!M24)</f>
        <v>318740</v>
      </c>
      <c r="X25" s="129">
        <f>SUM(Q25:U25)-('OPEB Amounts_Report'!H25-'OPEB Amounts_Report'!M25)</f>
        <v>0</v>
      </c>
    </row>
    <row r="26" spans="1:24">
      <c r="A26" s="184">
        <v>2361</v>
      </c>
      <c r="B26" s="185" t="s">
        <v>16</v>
      </c>
      <c r="C26" s="63">
        <f t="shared" si="0"/>
        <v>-105412</v>
      </c>
      <c r="D26" s="63">
        <f t="shared" si="0"/>
        <v>-80005</v>
      </c>
      <c r="E26" s="63">
        <f t="shared" si="0"/>
        <v>-59161</v>
      </c>
      <c r="F26" s="63">
        <f t="shared" si="0"/>
        <v>-67785</v>
      </c>
      <c r="G26" s="63">
        <f t="shared" si="0"/>
        <v>-26662</v>
      </c>
      <c r="I26" s="186"/>
      <c r="K26" s="64">
        <f>ROUND(VLOOKUP($A26,'Contribution Allocation_Report'!$A$9:$D$311,4,FALSE)*$K$326,0)</f>
        <v>-104939</v>
      </c>
      <c r="L26" s="64">
        <f>ROUND(VLOOKUP($A26,'Contribution Allocation_Report'!$A$9:$D$311,4,FALSE)*$L$326,0)</f>
        <v>-76254</v>
      </c>
      <c r="M26" s="64">
        <f>ROUND(VLOOKUP($A26,'Contribution Allocation_Report'!$A$9:$D$311,4,FALSE)*$M$326,0)</f>
        <v>-46017</v>
      </c>
      <c r="N26" s="64">
        <f>ROUND(VLOOKUP($A26,'Contribution Allocation_Report'!$A$9:$D$311,4,FALSE)*$N$326,0)</f>
        <v>-69378</v>
      </c>
      <c r="O26" s="64">
        <f>ROUND(VLOOKUP($A26,'Contribution Allocation_Report'!$A$9:$D$311,4,FALSE)*$O$326,0)</f>
        <v>-39523</v>
      </c>
      <c r="Q26" s="64">
        <f>+K26+VLOOKUP(A26,'Change in Proportion Layers'!$A$8:$N$324,3,FALSE)+VLOOKUP(A26,'Change in Proportion Layers'!$A$8:$Y$324,10,FALSE)+VLOOKUP(A26,'Change in Proportion Layers'!$A$8:$Y$324,16,FALSE)+VLOOKUP(A26,'Change in Proportion Layers'!$A$8:$Y$324,21,FALSE)+VLOOKUP(A26,'Change in Proportion Layers'!$A$8:$Y$324,25,FALSE)</f>
        <v>-105412</v>
      </c>
      <c r="R26" s="64">
        <f>+L26+VLOOKUP(A26,'Change in Proportion Layers'!$A$8:$Y$324,4,FALSE)+VLOOKUP(A26,'Change in Proportion Layers'!$A$8:$Y$324,11,FALSE)+VLOOKUP(A26,'Change in Proportion Layers'!$A$8:$Y$324,17,FALSE)+VLOOKUP(A26,'Change in Proportion Layers'!$A$8:$Y$324,22,FALSE)</f>
        <v>-80005</v>
      </c>
      <c r="S26" s="64">
        <f>+M26+VLOOKUP(A26,'Change in Proportion Layers'!$A$8:$Y$324,5,FALSE)+VLOOKUP(A26,'Change in Proportion Layers'!$A$8:$Y$324,12,FALSE)+VLOOKUP(A26,'Change in Proportion Layers'!$A$8:$Y$324,18,FALSE)</f>
        <v>-59161</v>
      </c>
      <c r="T26" s="64">
        <f>+N26+VLOOKUP(A26,'Change in Proportion Layers'!$A$8:$Y$324,6,FALSE)+VLOOKUP(A26,'Change in Proportion Layers'!$A$8:$Y$324,13,FALSE)</f>
        <v>-67785</v>
      </c>
      <c r="U26" s="64">
        <f>+O26+VLOOKUP(A26,'Change in Proportion Layers'!$A$8:$Y$324,7,FALSE)+1</f>
        <v>-26662</v>
      </c>
      <c r="W26" s="64">
        <f>('OPEB Amounts_Report'!H25-'OPEB Amounts_Report'!M25)</f>
        <v>-333988</v>
      </c>
      <c r="X26" s="129">
        <f>SUM(Q26:U26)-('OPEB Amounts_Report'!H26-'OPEB Amounts_Report'!M26)</f>
        <v>0</v>
      </c>
    </row>
    <row r="27" spans="1:24">
      <c r="A27" s="187">
        <v>8347</v>
      </c>
      <c r="B27" s="188" t="s">
        <v>17</v>
      </c>
      <c r="C27" s="5">
        <f t="shared" si="0"/>
        <v>-149684</v>
      </c>
      <c r="D27" s="5">
        <f t="shared" si="0"/>
        <v>-125837</v>
      </c>
      <c r="E27" s="5">
        <f t="shared" si="0"/>
        <v>-90835</v>
      </c>
      <c r="F27" s="5">
        <f t="shared" si="0"/>
        <v>-94968</v>
      </c>
      <c r="G27" s="5">
        <f t="shared" si="0"/>
        <v>-70160</v>
      </c>
      <c r="I27" s="186"/>
      <c r="K27" s="64">
        <f>ROUND(VLOOKUP($A27,'Contribution Allocation_Report'!$A$9:$D$311,4,FALSE)*$K$326,0)</f>
        <v>-122839</v>
      </c>
      <c r="L27" s="64">
        <f>ROUND(VLOOKUP($A27,'Contribution Allocation_Report'!$A$9:$D$311,4,FALSE)*$L$326,0)</f>
        <v>-89262</v>
      </c>
      <c r="M27" s="64">
        <f>ROUND(VLOOKUP($A27,'Contribution Allocation_Report'!$A$9:$D$311,4,FALSE)*$M$326,0)</f>
        <v>-53866</v>
      </c>
      <c r="N27" s="64">
        <f>ROUND(VLOOKUP($A27,'Contribution Allocation_Report'!$A$9:$D$311,4,FALSE)*$N$326,0)</f>
        <v>-81213</v>
      </c>
      <c r="O27" s="64">
        <f>ROUND(VLOOKUP($A27,'Contribution Allocation_Report'!$A$9:$D$311,4,FALSE)*$O$326,0)</f>
        <v>-46264</v>
      </c>
      <c r="Q27" s="64">
        <f>+K27+VLOOKUP(A27,'Change in Proportion Layers'!$A$8:$N$324,3,FALSE)+VLOOKUP(A27,'Change in Proportion Layers'!$A$8:$Y$324,10,FALSE)+VLOOKUP(A27,'Change in Proportion Layers'!$A$8:$Y$324,16,FALSE)+VLOOKUP(A27,'Change in Proportion Layers'!$A$8:$Y$324,21,FALSE)+VLOOKUP(A27,'Change in Proportion Layers'!$A$8:$Y$324,25,FALSE)</f>
        <v>-149684</v>
      </c>
      <c r="R27" s="64">
        <f>+L27+VLOOKUP(A27,'Change in Proportion Layers'!$A$8:$Y$324,4,FALSE)+VLOOKUP(A27,'Change in Proportion Layers'!$A$8:$Y$324,11,FALSE)+VLOOKUP(A27,'Change in Proportion Layers'!$A$8:$Y$324,17,FALSE)+VLOOKUP(A27,'Change in Proportion Layers'!$A$8:$Y$324,22,FALSE)</f>
        <v>-125837</v>
      </c>
      <c r="S27" s="64">
        <f>+M27+VLOOKUP(A27,'Change in Proportion Layers'!$A$8:$Y$324,5,FALSE)+VLOOKUP(A27,'Change in Proportion Layers'!$A$8:$Y$324,12,FALSE)+VLOOKUP(A27,'Change in Proportion Layers'!$A$8:$Y$324,18,FALSE)</f>
        <v>-90835</v>
      </c>
      <c r="T27" s="64">
        <f>+N27+VLOOKUP(A27,'Change in Proportion Layers'!$A$8:$Y$324,6,FALSE)+VLOOKUP(A27,'Change in Proportion Layers'!$A$8:$Y$324,13,FALSE)</f>
        <v>-94968</v>
      </c>
      <c r="U27" s="64">
        <f>+O27+VLOOKUP(A27,'Change in Proportion Layers'!$A$8:$Y$324,7,FALSE)</f>
        <v>-70160</v>
      </c>
      <c r="W27" s="64">
        <f>('OPEB Amounts_Report'!H26-'OPEB Amounts_Report'!M26)</f>
        <v>-339025</v>
      </c>
      <c r="X27" s="129">
        <f>SUM(Q27:U27)-('OPEB Amounts_Report'!H27-'OPEB Amounts_Report'!M27)</f>
        <v>0</v>
      </c>
    </row>
    <row r="28" spans="1:24">
      <c r="A28" s="184">
        <v>2356</v>
      </c>
      <c r="B28" s="185" t="s">
        <v>18</v>
      </c>
      <c r="C28" s="63">
        <f t="shared" si="0"/>
        <v>-162685</v>
      </c>
      <c r="D28" s="63">
        <f t="shared" si="0"/>
        <v>-119537</v>
      </c>
      <c r="E28" s="63">
        <f t="shared" si="0"/>
        <v>-94165</v>
      </c>
      <c r="F28" s="63">
        <f t="shared" si="0"/>
        <v>-167084</v>
      </c>
      <c r="G28" s="63">
        <f t="shared" si="0"/>
        <v>-91943</v>
      </c>
      <c r="I28" s="186"/>
      <c r="K28" s="64">
        <f>ROUND(VLOOKUP($A28,'Contribution Allocation_Report'!$A$9:$D$311,4,FALSE)*$K$326,0)</f>
        <v>-273368</v>
      </c>
      <c r="L28" s="64">
        <f>ROUND(VLOOKUP($A28,'Contribution Allocation_Report'!$A$9:$D$311,4,FALSE)*$L$326,0)</f>
        <v>-198644</v>
      </c>
      <c r="M28" s="64">
        <f>ROUND(VLOOKUP($A28,'Contribution Allocation_Report'!$A$9:$D$311,4,FALSE)*$M$326,0)</f>
        <v>-119875</v>
      </c>
      <c r="N28" s="64">
        <f>ROUND(VLOOKUP($A28,'Contribution Allocation_Report'!$A$9:$D$311,4,FALSE)*$N$326,0)</f>
        <v>-180732</v>
      </c>
      <c r="O28" s="64">
        <f>ROUND(VLOOKUP($A28,'Contribution Allocation_Report'!$A$9:$D$311,4,FALSE)*$O$326,0)</f>
        <v>-102957</v>
      </c>
      <c r="Q28" s="64">
        <f>+K28+VLOOKUP(A28,'Change in Proportion Layers'!$A$8:$N$324,3,FALSE)+VLOOKUP(A28,'Change in Proportion Layers'!$A$8:$Y$324,10,FALSE)+VLOOKUP(A28,'Change in Proportion Layers'!$A$8:$Y$324,16,FALSE)+VLOOKUP(A28,'Change in Proportion Layers'!$A$8:$Y$324,21,FALSE)+VLOOKUP(A28,'Change in Proportion Layers'!$A$8:$Y$324,25,FALSE)</f>
        <v>-162685</v>
      </c>
      <c r="R28" s="64">
        <f>+L28+VLOOKUP(A28,'Change in Proportion Layers'!$A$8:$Y$324,4,FALSE)+VLOOKUP(A28,'Change in Proportion Layers'!$A$8:$Y$324,11,FALSE)+VLOOKUP(A28,'Change in Proportion Layers'!$A$8:$Y$324,17,FALSE)+VLOOKUP(A28,'Change in Proportion Layers'!$A$8:$Y$324,22,FALSE)</f>
        <v>-119537</v>
      </c>
      <c r="S28" s="64">
        <f>+M28+VLOOKUP(A28,'Change in Proportion Layers'!$A$8:$Y$324,5,FALSE)+VLOOKUP(A28,'Change in Proportion Layers'!$A$8:$Y$324,12,FALSE)+VLOOKUP(A28,'Change in Proportion Layers'!$A$8:$Y$324,18,FALSE)</f>
        <v>-94165</v>
      </c>
      <c r="T28" s="64">
        <f>+N28+VLOOKUP(A28,'Change in Proportion Layers'!$A$8:$Y$324,6,FALSE)+VLOOKUP(A28,'Change in Proportion Layers'!$A$8:$Y$324,13,FALSE)</f>
        <v>-167084</v>
      </c>
      <c r="U28" s="64">
        <f>+O28+VLOOKUP(A28,'Change in Proportion Layers'!$A$8:$Y$324,7,FALSE)-1</f>
        <v>-91943</v>
      </c>
      <c r="W28" s="64">
        <f>('OPEB Amounts_Report'!H27-'OPEB Amounts_Report'!M27)</f>
        <v>-531484</v>
      </c>
      <c r="X28" s="129">
        <f>SUM(Q28:U28)-('OPEB Amounts_Report'!H28-'OPEB Amounts_Report'!M28)</f>
        <v>0</v>
      </c>
    </row>
    <row r="29" spans="1:24">
      <c r="A29" s="187">
        <v>7335</v>
      </c>
      <c r="B29" s="188" t="s">
        <v>19</v>
      </c>
      <c r="C29" s="5">
        <f t="shared" si="0"/>
        <v>-93675</v>
      </c>
      <c r="D29" s="5">
        <f t="shared" si="0"/>
        <v>-69275</v>
      </c>
      <c r="E29" s="5">
        <f t="shared" si="0"/>
        <v>-36249</v>
      </c>
      <c r="F29" s="5">
        <f t="shared" si="0"/>
        <v>-53985</v>
      </c>
      <c r="G29" s="5">
        <f t="shared" si="0"/>
        <v>-12436</v>
      </c>
      <c r="I29" s="186"/>
      <c r="K29" s="64">
        <f>ROUND(VLOOKUP($A29,'Contribution Allocation_Report'!$A$9:$D$311,4,FALSE)*$K$326,0)</f>
        <v>-124477</v>
      </c>
      <c r="L29" s="64">
        <f>ROUND(VLOOKUP($A29,'Contribution Allocation_Report'!$A$9:$D$311,4,FALSE)*$L$326,0)</f>
        <v>-90452</v>
      </c>
      <c r="M29" s="64">
        <f>ROUND(VLOOKUP($A29,'Contribution Allocation_Report'!$A$9:$D$311,4,FALSE)*$M$326,0)</f>
        <v>-54584</v>
      </c>
      <c r="N29" s="64">
        <f>ROUND(VLOOKUP($A29,'Contribution Allocation_Report'!$A$9:$D$311,4,FALSE)*$N$326,0)</f>
        <v>-82295</v>
      </c>
      <c r="O29" s="64">
        <f>ROUND(VLOOKUP($A29,'Contribution Allocation_Report'!$A$9:$D$311,4,FALSE)*$O$326,0)</f>
        <v>-46881</v>
      </c>
      <c r="Q29" s="64">
        <f>+K29+VLOOKUP(A29,'Change in Proportion Layers'!$A$8:$N$324,3,FALSE)+VLOOKUP(A29,'Change in Proportion Layers'!$A$8:$Y$324,10,FALSE)+VLOOKUP(A29,'Change in Proportion Layers'!$A$8:$Y$324,16,FALSE)+VLOOKUP(A29,'Change in Proportion Layers'!$A$8:$Y$324,21,FALSE)+VLOOKUP(A29,'Change in Proportion Layers'!$A$8:$Y$324,25,FALSE)</f>
        <v>-93675</v>
      </c>
      <c r="R29" s="64">
        <f>+L29+VLOOKUP(A29,'Change in Proportion Layers'!$A$8:$Y$324,4,FALSE)+VLOOKUP(A29,'Change in Proportion Layers'!$A$8:$Y$324,11,FALSE)+VLOOKUP(A29,'Change in Proportion Layers'!$A$8:$Y$324,17,FALSE)+VLOOKUP(A29,'Change in Proportion Layers'!$A$8:$Y$324,22,FALSE)</f>
        <v>-69275</v>
      </c>
      <c r="S29" s="64">
        <f>+M29+VLOOKUP(A29,'Change in Proportion Layers'!$A$8:$Y$324,5,FALSE)+VLOOKUP(A29,'Change in Proportion Layers'!$A$8:$Y$324,12,FALSE)+VLOOKUP(A29,'Change in Proportion Layers'!$A$8:$Y$324,18,FALSE)</f>
        <v>-36249</v>
      </c>
      <c r="T29" s="64">
        <f>+N29+VLOOKUP(A29,'Change in Proportion Layers'!$A$8:$Y$324,6,FALSE)+VLOOKUP(A29,'Change in Proportion Layers'!$A$8:$Y$324,13,FALSE)</f>
        <v>-53985</v>
      </c>
      <c r="U29" s="64">
        <f>+O29+VLOOKUP(A29,'Change in Proportion Layers'!$A$8:$Y$324,7,FALSE)-1</f>
        <v>-12436</v>
      </c>
      <c r="W29" s="64">
        <f>('OPEB Amounts_Report'!H28-'OPEB Amounts_Report'!M28)</f>
        <v>-635414</v>
      </c>
      <c r="X29" s="129">
        <f>SUM(Q29:U29)-('OPEB Amounts_Report'!H29-'OPEB Amounts_Report'!M29)</f>
        <v>0</v>
      </c>
    </row>
    <row r="30" spans="1:24">
      <c r="A30" s="184">
        <v>575</v>
      </c>
      <c r="B30" s="185" t="s">
        <v>410</v>
      </c>
      <c r="C30" s="63">
        <f t="shared" si="0"/>
        <v>83745</v>
      </c>
      <c r="D30" s="63">
        <f t="shared" si="0"/>
        <v>76103</v>
      </c>
      <c r="E30" s="63">
        <f t="shared" si="0"/>
        <v>43640</v>
      </c>
      <c r="F30" s="63">
        <f t="shared" si="0"/>
        <v>2213</v>
      </c>
      <c r="G30" s="63">
        <f t="shared" si="0"/>
        <v>-18931</v>
      </c>
      <c r="I30" s="186"/>
      <c r="K30" s="64">
        <f>ROUND(VLOOKUP($A30,'Contribution Allocation_Report'!$A$9:$D$311,4,FALSE)*$K$326,0)</f>
        <v>-93438</v>
      </c>
      <c r="L30" s="64">
        <f>ROUND(VLOOKUP($A30,'Contribution Allocation_Report'!$A$9:$D$311,4,FALSE)*$L$326,0)</f>
        <v>-67897</v>
      </c>
      <c r="M30" s="64">
        <f>ROUND(VLOOKUP($A30,'Contribution Allocation_Report'!$A$9:$D$311,4,FALSE)*$M$326,0)</f>
        <v>-40974</v>
      </c>
      <c r="N30" s="64">
        <f>ROUND(VLOOKUP($A30,'Contribution Allocation_Report'!$A$9:$D$311,4,FALSE)*$N$326,0)</f>
        <v>-61775</v>
      </c>
      <c r="O30" s="64">
        <f>ROUND(VLOOKUP($A30,'Contribution Allocation_Report'!$A$9:$D$311,4,FALSE)*$O$326,0)</f>
        <v>-35191</v>
      </c>
      <c r="Q30" s="64">
        <f>+K30+VLOOKUP(A30,'Change in Proportion Layers'!$A$8:$N$324,3,FALSE)+VLOOKUP(A30,'Change in Proportion Layers'!$A$8:$Y$324,10,FALSE)+VLOOKUP(A30,'Change in Proportion Layers'!$A$8:$Y$324,16,FALSE)+VLOOKUP(A30,'Change in Proportion Layers'!$A$8:$Y$324,21,FALSE)+VLOOKUP(A30,'Change in Proportion Layers'!$A$8:$Y$324,25,FALSE)</f>
        <v>83745</v>
      </c>
      <c r="R30" s="64">
        <f>+L30+VLOOKUP(A30,'Change in Proportion Layers'!$A$8:$Y$324,4,FALSE)+VLOOKUP(A30,'Change in Proportion Layers'!$A$8:$Y$324,11,FALSE)+VLOOKUP(A30,'Change in Proportion Layers'!$A$8:$Y$324,17,FALSE)+VLOOKUP(A30,'Change in Proportion Layers'!$A$8:$Y$324,22,FALSE)</f>
        <v>76103</v>
      </c>
      <c r="S30" s="64">
        <f>+M30+VLOOKUP(A30,'Change in Proportion Layers'!$A$8:$Y$324,5,FALSE)+VLOOKUP(A30,'Change in Proportion Layers'!$A$8:$Y$324,12,FALSE)+VLOOKUP(A30,'Change in Proportion Layers'!$A$8:$Y$324,18,FALSE)</f>
        <v>43640</v>
      </c>
      <c r="T30" s="64">
        <f>+N30+VLOOKUP(A30,'Change in Proportion Layers'!$A$8:$Y$324,6,FALSE)+VLOOKUP(A30,'Change in Proportion Layers'!$A$8:$Y$324,13,FALSE)</f>
        <v>2213</v>
      </c>
      <c r="U30" s="64">
        <f>+O30+VLOOKUP(A30,'Change in Proportion Layers'!$A$8:$Y$324,7,FALSE)+1</f>
        <v>-18931</v>
      </c>
      <c r="W30" s="64">
        <f>('OPEB Amounts_Report'!H29-'OPEB Amounts_Report'!M29)</f>
        <v>-265620</v>
      </c>
      <c r="X30" s="129">
        <f>SUM(Q30:U30)-('OPEB Amounts_Report'!H30-'OPEB Amounts_Report'!M30)</f>
        <v>0</v>
      </c>
    </row>
    <row r="31" spans="1:24">
      <c r="A31" s="187">
        <v>2303</v>
      </c>
      <c r="B31" s="188" t="s">
        <v>20</v>
      </c>
      <c r="C31" s="5">
        <f t="shared" si="0"/>
        <v>-291617</v>
      </c>
      <c r="D31" s="5">
        <f t="shared" si="0"/>
        <v>-221594</v>
      </c>
      <c r="E31" s="5">
        <f t="shared" si="0"/>
        <v>-138556</v>
      </c>
      <c r="F31" s="5">
        <f t="shared" si="0"/>
        <v>-161091</v>
      </c>
      <c r="G31" s="5">
        <f t="shared" si="0"/>
        <v>-89986</v>
      </c>
      <c r="I31" s="186"/>
      <c r="K31" s="64">
        <f>ROUND(VLOOKUP($A31,'Contribution Allocation_Report'!$A$9:$D$311,4,FALSE)*$K$326,0)</f>
        <v>-194706</v>
      </c>
      <c r="L31" s="64">
        <f>ROUND(VLOOKUP($A31,'Contribution Allocation_Report'!$A$9:$D$311,4,FALSE)*$L$326,0)</f>
        <v>-141485</v>
      </c>
      <c r="M31" s="64">
        <f>ROUND(VLOOKUP($A31,'Contribution Allocation_Report'!$A$9:$D$311,4,FALSE)*$M$326,0)</f>
        <v>-85381</v>
      </c>
      <c r="N31" s="64">
        <f>ROUND(VLOOKUP($A31,'Contribution Allocation_Report'!$A$9:$D$311,4,FALSE)*$N$326,0)</f>
        <v>-128726</v>
      </c>
      <c r="O31" s="64">
        <f>ROUND(VLOOKUP($A31,'Contribution Allocation_Report'!$A$9:$D$311,4,FALSE)*$O$326,0)</f>
        <v>-73332</v>
      </c>
      <c r="Q31" s="64">
        <f>+K31+VLOOKUP(A31,'Change in Proportion Layers'!$A$8:$N$324,3,FALSE)+VLOOKUP(A31,'Change in Proportion Layers'!$A$8:$Y$324,10,FALSE)+VLOOKUP(A31,'Change in Proportion Layers'!$A$8:$Y$324,16,FALSE)+VLOOKUP(A31,'Change in Proportion Layers'!$A$8:$Y$324,21,FALSE)+VLOOKUP(A31,'Change in Proportion Layers'!$A$8:$Y$324,25,FALSE)</f>
        <v>-291617</v>
      </c>
      <c r="R31" s="64">
        <f>+L31+VLOOKUP(A31,'Change in Proportion Layers'!$A$8:$Y$324,4,FALSE)+VLOOKUP(A31,'Change in Proportion Layers'!$A$8:$Y$324,11,FALSE)+VLOOKUP(A31,'Change in Proportion Layers'!$A$8:$Y$324,17,FALSE)+VLOOKUP(A31,'Change in Proportion Layers'!$A$8:$Y$324,22,FALSE)</f>
        <v>-221594</v>
      </c>
      <c r="S31" s="64">
        <f>+M31+VLOOKUP(A31,'Change in Proportion Layers'!$A$8:$Y$324,5,FALSE)+VLOOKUP(A31,'Change in Proportion Layers'!$A$8:$Y$324,12,FALSE)+VLOOKUP(A31,'Change in Proportion Layers'!$A$8:$Y$324,18,FALSE)</f>
        <v>-138556</v>
      </c>
      <c r="T31" s="64">
        <f>+N31+VLOOKUP(A31,'Change in Proportion Layers'!$A$8:$Y$324,6,FALSE)+VLOOKUP(A31,'Change in Proportion Layers'!$A$8:$Y$324,13,FALSE)</f>
        <v>-161091</v>
      </c>
      <c r="U31" s="64">
        <f>+O31+VLOOKUP(A31,'Change in Proportion Layers'!$A$8:$Y$324,7,FALSE)+1</f>
        <v>-89986</v>
      </c>
      <c r="W31" s="64">
        <f>('OPEB Amounts_Report'!H30-'OPEB Amounts_Report'!M30)</f>
        <v>186770</v>
      </c>
      <c r="X31" s="129">
        <f>SUM(Q31:U31)-('OPEB Amounts_Report'!H31-'OPEB Amounts_Report'!M31)</f>
        <v>0</v>
      </c>
    </row>
    <row r="32" spans="1:24">
      <c r="A32" s="184">
        <v>20316</v>
      </c>
      <c r="B32" s="185" t="s">
        <v>21</v>
      </c>
      <c r="C32" s="63">
        <f t="shared" si="0"/>
        <v>-79372</v>
      </c>
      <c r="D32" s="63">
        <f t="shared" si="0"/>
        <v>-47736</v>
      </c>
      <c r="E32" s="63">
        <f t="shared" si="0"/>
        <v>-12912</v>
      </c>
      <c r="F32" s="63">
        <f t="shared" si="0"/>
        <v>-42738</v>
      </c>
      <c r="G32" s="63">
        <f t="shared" si="0"/>
        <v>-24241</v>
      </c>
      <c r="I32" s="186"/>
      <c r="K32" s="64">
        <f>ROUND(VLOOKUP($A32,'Contribution Allocation_Report'!$A$9:$D$311,4,FALSE)*$K$326,0)</f>
        <v>-122518</v>
      </c>
      <c r="L32" s="64">
        <f>ROUND(VLOOKUP($A32,'Contribution Allocation_Report'!$A$9:$D$311,4,FALSE)*$L$326,0)</f>
        <v>-89028</v>
      </c>
      <c r="M32" s="64">
        <f>ROUND(VLOOKUP($A32,'Contribution Allocation_Report'!$A$9:$D$311,4,FALSE)*$M$326,0)</f>
        <v>-53725</v>
      </c>
      <c r="N32" s="64">
        <f>ROUND(VLOOKUP($A32,'Contribution Allocation_Report'!$A$9:$D$311,4,FALSE)*$N$326,0)</f>
        <v>-81000</v>
      </c>
      <c r="O32" s="64">
        <f>ROUND(VLOOKUP($A32,'Contribution Allocation_Report'!$A$9:$D$311,4,FALSE)*$O$326,0)</f>
        <v>-46143</v>
      </c>
      <c r="Q32" s="64">
        <f>+K32+VLOOKUP(A32,'Change in Proportion Layers'!$A$8:$N$324,3,FALSE)+VLOOKUP(A32,'Change in Proportion Layers'!$A$8:$Y$324,10,FALSE)+VLOOKUP(A32,'Change in Proportion Layers'!$A$8:$Y$324,16,FALSE)+VLOOKUP(A32,'Change in Proportion Layers'!$A$8:$Y$324,21,FALSE)+VLOOKUP(A32,'Change in Proportion Layers'!$A$8:$Y$324,25,FALSE)</f>
        <v>-79372</v>
      </c>
      <c r="R32" s="64">
        <f>+L32+VLOOKUP(A32,'Change in Proportion Layers'!$A$8:$Y$324,4,FALSE)+VLOOKUP(A32,'Change in Proportion Layers'!$A$8:$Y$324,11,FALSE)+VLOOKUP(A32,'Change in Proportion Layers'!$A$8:$Y$324,17,FALSE)+VLOOKUP(A32,'Change in Proportion Layers'!$A$8:$Y$324,22,FALSE)</f>
        <v>-47736</v>
      </c>
      <c r="S32" s="64">
        <f>+M32+VLOOKUP(A32,'Change in Proportion Layers'!$A$8:$Y$324,5,FALSE)+VLOOKUP(A32,'Change in Proportion Layers'!$A$8:$Y$324,12,FALSE)+VLOOKUP(A32,'Change in Proportion Layers'!$A$8:$Y$324,18,FALSE)</f>
        <v>-12912</v>
      </c>
      <c r="T32" s="64">
        <f>+N32+VLOOKUP(A32,'Change in Proportion Layers'!$A$8:$Y$324,6,FALSE)+VLOOKUP(A32,'Change in Proportion Layers'!$A$8:$Y$324,13,FALSE)</f>
        <v>-42738</v>
      </c>
      <c r="U32" s="64">
        <f>+O32+VLOOKUP(A32,'Change in Proportion Layers'!$A$8:$Y$324,7,FALSE)-2</f>
        <v>-24241</v>
      </c>
      <c r="W32" s="64">
        <f>('OPEB Amounts_Report'!H31-'OPEB Amounts_Report'!M31)</f>
        <v>-902844</v>
      </c>
      <c r="X32" s="129">
        <f>SUM(Q32:U32)-('OPEB Amounts_Report'!H32-'OPEB Amounts_Report'!M32)</f>
        <v>0</v>
      </c>
    </row>
    <row r="33" spans="1:24">
      <c r="A33" s="187">
        <v>23121</v>
      </c>
      <c r="B33" s="188" t="s">
        <v>22</v>
      </c>
      <c r="C33" s="5">
        <f t="shared" si="0"/>
        <v>-181409</v>
      </c>
      <c r="D33" s="5">
        <f t="shared" si="0"/>
        <v>-129026</v>
      </c>
      <c r="E33" s="5">
        <f t="shared" si="0"/>
        <v>-72663</v>
      </c>
      <c r="F33" s="5">
        <f t="shared" si="0"/>
        <v>-93247</v>
      </c>
      <c r="G33" s="5">
        <f t="shared" si="0"/>
        <v>-36264</v>
      </c>
      <c r="I33" s="186"/>
      <c r="K33" s="64">
        <f>ROUND(VLOOKUP($A33,'Contribution Allocation_Report'!$A$9:$D$311,4,FALSE)*$K$326,0)</f>
        <v>-142909</v>
      </c>
      <c r="L33" s="64">
        <f>ROUND(VLOOKUP($A33,'Contribution Allocation_Report'!$A$9:$D$311,4,FALSE)*$L$326,0)</f>
        <v>-103846</v>
      </c>
      <c r="M33" s="64">
        <f>ROUND(VLOOKUP($A33,'Contribution Allocation_Report'!$A$9:$D$311,4,FALSE)*$M$326,0)</f>
        <v>-62667</v>
      </c>
      <c r="N33" s="64">
        <f>ROUND(VLOOKUP($A33,'Contribution Allocation_Report'!$A$9:$D$311,4,FALSE)*$N$326,0)</f>
        <v>-94482</v>
      </c>
      <c r="O33" s="64">
        <f>ROUND(VLOOKUP($A33,'Contribution Allocation_Report'!$A$9:$D$311,4,FALSE)*$O$326,0)</f>
        <v>-53823</v>
      </c>
      <c r="Q33" s="64">
        <f>+K33+VLOOKUP(A33,'Change in Proportion Layers'!$A$8:$N$324,3,FALSE)+VLOOKUP(A33,'Change in Proportion Layers'!$A$8:$Y$324,10,FALSE)+VLOOKUP(A33,'Change in Proportion Layers'!$A$8:$Y$324,16,FALSE)+VLOOKUP(A33,'Change in Proportion Layers'!$A$8:$Y$324,21,FALSE)+VLOOKUP(A33,'Change in Proportion Layers'!$A$8:$Y$324,25,FALSE)</f>
        <v>-181409</v>
      </c>
      <c r="R33" s="64">
        <f>+L33+VLOOKUP(A33,'Change in Proportion Layers'!$A$8:$Y$324,4,FALSE)+VLOOKUP(A33,'Change in Proportion Layers'!$A$8:$Y$324,11,FALSE)+VLOOKUP(A33,'Change in Proportion Layers'!$A$8:$Y$324,17,FALSE)+VLOOKUP(A33,'Change in Proportion Layers'!$A$8:$Y$324,22,FALSE)</f>
        <v>-129026</v>
      </c>
      <c r="S33" s="64">
        <f>+M33+VLOOKUP(A33,'Change in Proportion Layers'!$A$8:$Y$324,5,FALSE)+VLOOKUP(A33,'Change in Proportion Layers'!$A$8:$Y$324,12,FALSE)+VLOOKUP(A33,'Change in Proportion Layers'!$A$8:$Y$324,18,FALSE)</f>
        <v>-72663</v>
      </c>
      <c r="T33" s="64">
        <f>+N33+VLOOKUP(A33,'Change in Proportion Layers'!$A$8:$Y$324,6,FALSE)+VLOOKUP(A33,'Change in Proportion Layers'!$A$8:$Y$324,13,FALSE)</f>
        <v>-93247</v>
      </c>
      <c r="U33" s="64">
        <f>+O33+VLOOKUP(A33,'Change in Proportion Layers'!$A$8:$Y$324,7,FALSE)+1</f>
        <v>-36264</v>
      </c>
      <c r="W33" s="64">
        <f>('OPEB Amounts_Report'!H32-'OPEB Amounts_Report'!M32)</f>
        <v>-206999</v>
      </c>
      <c r="X33" s="129">
        <f>SUM(Q33:U33)-('OPEB Amounts_Report'!H33-'OPEB Amounts_Report'!M33)</f>
        <v>0</v>
      </c>
    </row>
    <row r="34" spans="1:24">
      <c r="A34" s="184">
        <v>3004</v>
      </c>
      <c r="B34" s="185" t="s">
        <v>23</v>
      </c>
      <c r="C34" s="63">
        <f t="shared" si="0"/>
        <v>-2316024</v>
      </c>
      <c r="D34" s="63">
        <f t="shared" si="0"/>
        <v>-1730422</v>
      </c>
      <c r="E34" s="63">
        <f t="shared" si="0"/>
        <v>-1059801</v>
      </c>
      <c r="F34" s="63">
        <f t="shared" si="0"/>
        <v>-1497001</v>
      </c>
      <c r="G34" s="63">
        <f t="shared" si="0"/>
        <v>-937353</v>
      </c>
      <c r="I34" s="186"/>
      <c r="K34" s="64">
        <f>ROUND(VLOOKUP($A34,'Contribution Allocation_Report'!$A$9:$D$311,4,FALSE)*$K$326,0)</f>
        <v>-2232932</v>
      </c>
      <c r="L34" s="64">
        <f>ROUND(VLOOKUP($A34,'Contribution Allocation_Report'!$A$9:$D$311,4,FALSE)*$L$326,0)</f>
        <v>-1622574</v>
      </c>
      <c r="M34" s="64">
        <f>ROUND(VLOOKUP($A34,'Contribution Allocation_Report'!$A$9:$D$311,4,FALSE)*$M$326,0)</f>
        <v>-979167</v>
      </c>
      <c r="N34" s="64">
        <f>ROUND(VLOOKUP($A34,'Contribution Allocation_Report'!$A$9:$D$311,4,FALSE)*$N$326,0)</f>
        <v>-1476261</v>
      </c>
      <c r="O34" s="64">
        <f>ROUND(VLOOKUP($A34,'Contribution Allocation_Report'!$A$9:$D$311,4,FALSE)*$O$326,0)</f>
        <v>-840981</v>
      </c>
      <c r="Q34" s="64">
        <f>+K34+VLOOKUP(A34,'Change in Proportion Layers'!$A$8:$N$324,3,FALSE)+VLOOKUP(A34,'Change in Proportion Layers'!$A$8:$Y$324,10,FALSE)+VLOOKUP(A34,'Change in Proportion Layers'!$A$8:$Y$324,16,FALSE)+VLOOKUP(A34,'Change in Proportion Layers'!$A$8:$Y$324,21,FALSE)+VLOOKUP(A34,'Change in Proportion Layers'!$A$8:$Y$324,25,FALSE)</f>
        <v>-2316024</v>
      </c>
      <c r="R34" s="64">
        <f>+L34+VLOOKUP(A34,'Change in Proportion Layers'!$A$8:$Y$324,4,FALSE)+VLOOKUP(A34,'Change in Proportion Layers'!$A$8:$Y$324,11,FALSE)+VLOOKUP(A34,'Change in Proportion Layers'!$A$8:$Y$324,17,FALSE)+VLOOKUP(A34,'Change in Proportion Layers'!$A$8:$Y$324,22,FALSE)</f>
        <v>-1730422</v>
      </c>
      <c r="S34" s="64">
        <f>+M34+VLOOKUP(A34,'Change in Proportion Layers'!$A$8:$Y$324,5,FALSE)+VLOOKUP(A34,'Change in Proportion Layers'!$A$8:$Y$324,12,FALSE)+VLOOKUP(A34,'Change in Proportion Layers'!$A$8:$Y$324,18,FALSE)</f>
        <v>-1059801</v>
      </c>
      <c r="T34" s="64">
        <f>+N34+VLOOKUP(A34,'Change in Proportion Layers'!$A$8:$Y$324,6,FALSE)+VLOOKUP(A34,'Change in Proportion Layers'!$A$8:$Y$324,13,FALSE)</f>
        <v>-1497001</v>
      </c>
      <c r="U34" s="64">
        <f>+O34+VLOOKUP(A34,'Change in Proportion Layers'!$A$8:$Y$324,7,FALSE)+2</f>
        <v>-937353</v>
      </c>
      <c r="W34" s="64">
        <f>('OPEB Amounts_Report'!H33-'OPEB Amounts_Report'!M33)</f>
        <v>-512609</v>
      </c>
      <c r="X34" s="129">
        <f>SUM(Q34:U34)-('OPEB Amounts_Report'!H34-'OPEB Amounts_Report'!M34)</f>
        <v>0</v>
      </c>
    </row>
    <row r="35" spans="1:24">
      <c r="A35" s="187">
        <v>16050</v>
      </c>
      <c r="B35" s="188" t="s">
        <v>24</v>
      </c>
      <c r="C35" s="5">
        <f t="shared" si="0"/>
        <v>-1659136</v>
      </c>
      <c r="D35" s="5">
        <f t="shared" si="0"/>
        <v>-1128751</v>
      </c>
      <c r="E35" s="5">
        <f t="shared" si="0"/>
        <v>-646825</v>
      </c>
      <c r="F35" s="5">
        <f t="shared" si="0"/>
        <v>-1013823</v>
      </c>
      <c r="G35" s="5">
        <f t="shared" si="0"/>
        <v>-628849</v>
      </c>
      <c r="I35" s="186"/>
      <c r="K35" s="64">
        <f>ROUND(VLOOKUP($A35,'Contribution Allocation_Report'!$A$9:$D$311,4,FALSE)*$K$326,0)</f>
        <v>-1534378</v>
      </c>
      <c r="L35" s="64">
        <f>ROUND(VLOOKUP($A35,'Contribution Allocation_Report'!$A$9:$D$311,4,FALSE)*$L$326,0)</f>
        <v>-1114966</v>
      </c>
      <c r="M35" s="64">
        <f>ROUND(VLOOKUP($A35,'Contribution Allocation_Report'!$A$9:$D$311,4,FALSE)*$M$326,0)</f>
        <v>-672843</v>
      </c>
      <c r="N35" s="64">
        <f>ROUND(VLOOKUP($A35,'Contribution Allocation_Report'!$A$9:$D$311,4,FALSE)*$N$326,0)</f>
        <v>-1014425</v>
      </c>
      <c r="O35" s="64">
        <f>ROUND(VLOOKUP($A35,'Contribution Allocation_Report'!$A$9:$D$311,4,FALSE)*$O$326,0)</f>
        <v>-577887</v>
      </c>
      <c r="Q35" s="64">
        <f>+K35+VLOOKUP(A35,'Change in Proportion Layers'!$A$8:$N$324,3,FALSE)+VLOOKUP(A35,'Change in Proportion Layers'!$A$8:$Y$324,10,FALSE)+VLOOKUP(A35,'Change in Proportion Layers'!$A$8:$Y$324,16,FALSE)+VLOOKUP(A35,'Change in Proportion Layers'!$A$8:$Y$324,21,FALSE)+VLOOKUP(A35,'Change in Proportion Layers'!$A$8:$Y$324,25,FALSE)</f>
        <v>-1659136</v>
      </c>
      <c r="R35" s="64">
        <f>+L35+VLOOKUP(A35,'Change in Proportion Layers'!$A$8:$Y$324,4,FALSE)+VLOOKUP(A35,'Change in Proportion Layers'!$A$8:$Y$324,11,FALSE)+VLOOKUP(A35,'Change in Proportion Layers'!$A$8:$Y$324,17,FALSE)+VLOOKUP(A35,'Change in Proportion Layers'!$A$8:$Y$324,22,FALSE)</f>
        <v>-1128751</v>
      </c>
      <c r="S35" s="64">
        <f>+M35+VLOOKUP(A35,'Change in Proportion Layers'!$A$8:$Y$324,5,FALSE)+VLOOKUP(A35,'Change in Proportion Layers'!$A$8:$Y$324,12,FALSE)+VLOOKUP(A35,'Change in Proportion Layers'!$A$8:$Y$324,18,FALSE)</f>
        <v>-646825</v>
      </c>
      <c r="T35" s="64">
        <f>+N35+VLOOKUP(A35,'Change in Proportion Layers'!$A$8:$Y$324,6,FALSE)+VLOOKUP(A35,'Change in Proportion Layers'!$A$8:$Y$324,13,FALSE)</f>
        <v>-1013823</v>
      </c>
      <c r="U35" s="64">
        <f>+O35+VLOOKUP(A35,'Change in Proportion Layers'!$A$8:$Y$324,7,FALSE)</f>
        <v>-628849</v>
      </c>
      <c r="W35" s="64">
        <f>('OPEB Amounts_Report'!H34-'OPEB Amounts_Report'!M34)</f>
        <v>-7540601</v>
      </c>
      <c r="X35" s="129">
        <f>SUM(Q35:U35)-('OPEB Amounts_Report'!H35-'OPEB Amounts_Report'!M35)</f>
        <v>0</v>
      </c>
    </row>
    <row r="36" spans="1:24">
      <c r="A36" s="184">
        <v>14043</v>
      </c>
      <c r="B36" s="185" t="s">
        <v>25</v>
      </c>
      <c r="C36" s="63">
        <f t="shared" si="0"/>
        <v>-2217795</v>
      </c>
      <c r="D36" s="63">
        <f t="shared" si="0"/>
        <v>-1544863</v>
      </c>
      <c r="E36" s="63">
        <f t="shared" si="0"/>
        <v>-1349160</v>
      </c>
      <c r="F36" s="63">
        <f t="shared" si="0"/>
        <v>-1469970</v>
      </c>
      <c r="G36" s="63">
        <f t="shared" si="0"/>
        <v>-752618</v>
      </c>
      <c r="I36" s="186"/>
      <c r="K36" s="64">
        <f>ROUND(VLOOKUP($A36,'Contribution Allocation_Report'!$A$9:$D$311,4,FALSE)*$K$326,0)</f>
        <v>-2224793</v>
      </c>
      <c r="L36" s="64">
        <f>ROUND(VLOOKUP($A36,'Contribution Allocation_Report'!$A$9:$D$311,4,FALSE)*$L$326,0)</f>
        <v>-1616660</v>
      </c>
      <c r="M36" s="64">
        <f>ROUND(VLOOKUP($A36,'Contribution Allocation_Report'!$A$9:$D$311,4,FALSE)*$M$326,0)</f>
        <v>-975598</v>
      </c>
      <c r="N36" s="64">
        <f>ROUND(VLOOKUP($A36,'Contribution Allocation_Report'!$A$9:$D$311,4,FALSE)*$N$326,0)</f>
        <v>-1470881</v>
      </c>
      <c r="O36" s="64">
        <f>ROUND(VLOOKUP($A36,'Contribution Allocation_Report'!$A$9:$D$311,4,FALSE)*$O$326,0)</f>
        <v>-837916</v>
      </c>
      <c r="Q36" s="64">
        <f>+K36+VLOOKUP(A36,'Change in Proportion Layers'!$A$8:$N$324,3,FALSE)+VLOOKUP(A36,'Change in Proportion Layers'!$A$8:$Y$324,10,FALSE)+VLOOKUP(A36,'Change in Proportion Layers'!$A$8:$Y$324,16,FALSE)+VLOOKUP(A36,'Change in Proportion Layers'!$A$8:$Y$324,21,FALSE)+VLOOKUP(A36,'Change in Proportion Layers'!$A$8:$Y$324,25,FALSE)</f>
        <v>-2217795</v>
      </c>
      <c r="R36" s="64">
        <f>+L36+VLOOKUP(A36,'Change in Proportion Layers'!$A$8:$Y$324,4,FALSE)+VLOOKUP(A36,'Change in Proportion Layers'!$A$8:$Y$324,11,FALSE)+VLOOKUP(A36,'Change in Proportion Layers'!$A$8:$Y$324,17,FALSE)+VLOOKUP(A36,'Change in Proportion Layers'!$A$8:$Y$324,22,FALSE)</f>
        <v>-1544863</v>
      </c>
      <c r="S36" s="64">
        <f>+M36+VLOOKUP(A36,'Change in Proportion Layers'!$A$8:$Y$324,5,FALSE)+VLOOKUP(A36,'Change in Proportion Layers'!$A$8:$Y$324,12,FALSE)+VLOOKUP(A36,'Change in Proportion Layers'!$A$8:$Y$324,18,FALSE)</f>
        <v>-1349160</v>
      </c>
      <c r="T36" s="64">
        <f>+N36+VLOOKUP(A36,'Change in Proportion Layers'!$A$8:$Y$324,6,FALSE)+VLOOKUP(A36,'Change in Proportion Layers'!$A$8:$Y$324,13,FALSE)</f>
        <v>-1469970</v>
      </c>
      <c r="U36" s="64">
        <f>+O36+VLOOKUP(A36,'Change in Proportion Layers'!$A$8:$Y$324,7,FALSE)-1</f>
        <v>-752618</v>
      </c>
      <c r="W36" s="64">
        <f>('OPEB Amounts_Report'!H35-'OPEB Amounts_Report'!M35)</f>
        <v>-5077384</v>
      </c>
      <c r="X36" s="129">
        <f>SUM(Q36:U36)-('OPEB Amounts_Report'!H36-'OPEB Amounts_Report'!M36)</f>
        <v>0</v>
      </c>
    </row>
    <row r="37" spans="1:24">
      <c r="A37" s="187">
        <v>3010</v>
      </c>
      <c r="B37" s="188" t="s">
        <v>26</v>
      </c>
      <c r="C37" s="5">
        <f t="shared" si="0"/>
        <v>-13515298</v>
      </c>
      <c r="D37" s="5">
        <f t="shared" si="0"/>
        <v>-10247102</v>
      </c>
      <c r="E37" s="5">
        <f t="shared" si="0"/>
        <v>-6858186</v>
      </c>
      <c r="F37" s="5">
        <f t="shared" si="0"/>
        <v>-9044414</v>
      </c>
      <c r="G37" s="5">
        <f t="shared" si="0"/>
        <v>-5534101</v>
      </c>
      <c r="I37" s="186"/>
      <c r="K37" s="64">
        <f>ROUND(VLOOKUP($A37,'Contribution Allocation_Report'!$A$9:$D$311,4,FALSE)*$K$326,0)</f>
        <v>-13165340</v>
      </c>
      <c r="L37" s="64">
        <f>ROUND(VLOOKUP($A37,'Contribution Allocation_Report'!$A$9:$D$311,4,FALSE)*$L$326,0)</f>
        <v>-9566677</v>
      </c>
      <c r="M37" s="64">
        <f>ROUND(VLOOKUP($A37,'Contribution Allocation_Report'!$A$9:$D$311,4,FALSE)*$M$326,0)</f>
        <v>-5773157</v>
      </c>
      <c r="N37" s="64">
        <f>ROUND(VLOOKUP($A37,'Contribution Allocation_Report'!$A$9:$D$311,4,FALSE)*$N$326,0)</f>
        <v>-8704018</v>
      </c>
      <c r="O37" s="64">
        <f>ROUND(VLOOKUP($A37,'Contribution Allocation_Report'!$A$9:$D$311,4,FALSE)*$O$326,0)</f>
        <v>-4958412</v>
      </c>
      <c r="Q37" s="64">
        <f>+K37+VLOOKUP(A37,'Change in Proportion Layers'!$A$8:$N$324,3,FALSE)+VLOOKUP(A37,'Change in Proportion Layers'!$A$8:$Y$324,10,FALSE)+VLOOKUP(A37,'Change in Proportion Layers'!$A$8:$Y$324,16,FALSE)+VLOOKUP(A37,'Change in Proportion Layers'!$A$8:$Y$324,21,FALSE)+VLOOKUP(A37,'Change in Proportion Layers'!$A$8:$Y$324,25,FALSE)</f>
        <v>-13515298</v>
      </c>
      <c r="R37" s="64">
        <f>+L37+VLOOKUP(A37,'Change in Proportion Layers'!$A$8:$Y$324,4,FALSE)+VLOOKUP(A37,'Change in Proportion Layers'!$A$8:$Y$324,11,FALSE)+VLOOKUP(A37,'Change in Proportion Layers'!$A$8:$Y$324,17,FALSE)+VLOOKUP(A37,'Change in Proportion Layers'!$A$8:$Y$324,22,FALSE)</f>
        <v>-10247102</v>
      </c>
      <c r="S37" s="64">
        <f>+M37+VLOOKUP(A37,'Change in Proportion Layers'!$A$8:$Y$324,5,FALSE)+VLOOKUP(A37,'Change in Proportion Layers'!$A$8:$Y$324,12,FALSE)+VLOOKUP(A37,'Change in Proportion Layers'!$A$8:$Y$324,18,FALSE)</f>
        <v>-6858186</v>
      </c>
      <c r="T37" s="64">
        <f>+N37+VLOOKUP(A37,'Change in Proportion Layers'!$A$8:$Y$324,6,FALSE)+VLOOKUP(A37,'Change in Proportion Layers'!$A$8:$Y$324,13,FALSE)</f>
        <v>-9044414</v>
      </c>
      <c r="U37" s="64">
        <f>+O37+VLOOKUP(A37,'Change in Proportion Layers'!$A$8:$Y$324,7,FALSE)</f>
        <v>-5534101</v>
      </c>
      <c r="W37" s="64">
        <f>('OPEB Amounts_Report'!H36-'OPEB Amounts_Report'!M36)</f>
        <v>-7334406</v>
      </c>
      <c r="X37" s="129">
        <f>SUM(Q37:U37)-('OPEB Amounts_Report'!H37-'OPEB Amounts_Report'!M37)</f>
        <v>0</v>
      </c>
    </row>
    <row r="38" spans="1:24">
      <c r="A38" s="184">
        <v>29086</v>
      </c>
      <c r="B38" s="185" t="s">
        <v>27</v>
      </c>
      <c r="C38" s="63">
        <f t="shared" si="0"/>
        <v>-2159763</v>
      </c>
      <c r="D38" s="63">
        <f t="shared" si="0"/>
        <v>-1511907</v>
      </c>
      <c r="E38" s="63">
        <f t="shared" si="0"/>
        <v>-1010242</v>
      </c>
      <c r="F38" s="63">
        <f t="shared" si="0"/>
        <v>-1517743</v>
      </c>
      <c r="G38" s="63">
        <f t="shared" si="0"/>
        <v>-787191</v>
      </c>
      <c r="I38" s="186"/>
      <c r="K38" s="64">
        <f>ROUND(VLOOKUP($A38,'Contribution Allocation_Report'!$A$9:$D$311,4,FALSE)*$K$326,0)</f>
        <v>-2004819</v>
      </c>
      <c r="L38" s="64">
        <f>ROUND(VLOOKUP($A38,'Contribution Allocation_Report'!$A$9:$D$311,4,FALSE)*$L$326,0)</f>
        <v>-1456815</v>
      </c>
      <c r="M38" s="64">
        <f>ROUND(VLOOKUP($A38,'Contribution Allocation_Report'!$A$9:$D$311,4,FALSE)*$M$326,0)</f>
        <v>-879137</v>
      </c>
      <c r="N38" s="64">
        <f>ROUND(VLOOKUP($A38,'Contribution Allocation_Report'!$A$9:$D$311,4,FALSE)*$N$326,0)</f>
        <v>-1325449</v>
      </c>
      <c r="O38" s="64">
        <f>ROUND(VLOOKUP($A38,'Contribution Allocation_Report'!$A$9:$D$311,4,FALSE)*$O$326,0)</f>
        <v>-755068</v>
      </c>
      <c r="Q38" s="64">
        <f>+K38+VLOOKUP(A38,'Change in Proportion Layers'!$A$8:$N$324,3,FALSE)+VLOOKUP(A38,'Change in Proportion Layers'!$A$8:$Y$324,10,FALSE)+VLOOKUP(A38,'Change in Proportion Layers'!$A$8:$Y$324,16,FALSE)+VLOOKUP(A38,'Change in Proportion Layers'!$A$8:$Y$324,21,FALSE)+VLOOKUP(A38,'Change in Proportion Layers'!$A$8:$Y$324,25,FALSE)</f>
        <v>-2159763</v>
      </c>
      <c r="R38" s="64">
        <f>+L38+VLOOKUP(A38,'Change in Proportion Layers'!$A$8:$Y$324,4,FALSE)+VLOOKUP(A38,'Change in Proportion Layers'!$A$8:$Y$324,11,FALSE)+VLOOKUP(A38,'Change in Proportion Layers'!$A$8:$Y$324,17,FALSE)+VLOOKUP(A38,'Change in Proportion Layers'!$A$8:$Y$324,22,FALSE)</f>
        <v>-1511907</v>
      </c>
      <c r="S38" s="64">
        <f>+M38+VLOOKUP(A38,'Change in Proportion Layers'!$A$8:$Y$324,5,FALSE)+VLOOKUP(A38,'Change in Proportion Layers'!$A$8:$Y$324,12,FALSE)+VLOOKUP(A38,'Change in Proportion Layers'!$A$8:$Y$324,18,FALSE)</f>
        <v>-1010242</v>
      </c>
      <c r="T38" s="64">
        <f>+N38+VLOOKUP(A38,'Change in Proportion Layers'!$A$8:$Y$324,6,FALSE)+VLOOKUP(A38,'Change in Proportion Layers'!$A$8:$Y$324,13,FALSE)</f>
        <v>-1517743</v>
      </c>
      <c r="U38" s="64">
        <f>+O38+VLOOKUP(A38,'Change in Proportion Layers'!$A$8:$Y$324,7,FALSE)</f>
        <v>-787191</v>
      </c>
      <c r="W38" s="64">
        <f>('OPEB Amounts_Report'!H37-'OPEB Amounts_Report'!M37)</f>
        <v>-45199101</v>
      </c>
      <c r="X38" s="129">
        <f>SUM(Q38:U38)-('OPEB Amounts_Report'!H38-'OPEB Amounts_Report'!M38)</f>
        <v>0</v>
      </c>
    </row>
    <row r="39" spans="1:24">
      <c r="A39" s="187">
        <v>16051</v>
      </c>
      <c r="B39" s="188" t="s">
        <v>28</v>
      </c>
      <c r="C39" s="5">
        <f t="shared" si="0"/>
        <v>-1680814</v>
      </c>
      <c r="D39" s="5">
        <f t="shared" si="0"/>
        <v>-1240681</v>
      </c>
      <c r="E39" s="5">
        <f t="shared" si="0"/>
        <v>-755852</v>
      </c>
      <c r="F39" s="5">
        <f t="shared" si="0"/>
        <v>-1217636</v>
      </c>
      <c r="G39" s="5">
        <f t="shared" si="0"/>
        <v>-726250</v>
      </c>
      <c r="I39" s="186"/>
      <c r="K39" s="64">
        <f>ROUND(VLOOKUP($A39,'Contribution Allocation_Report'!$A$9:$D$311,4,FALSE)*$K$326,0)</f>
        <v>-1706482</v>
      </c>
      <c r="L39" s="64">
        <f>ROUND(VLOOKUP($A39,'Contribution Allocation_Report'!$A$9:$D$311,4,FALSE)*$L$326,0)</f>
        <v>-1240026</v>
      </c>
      <c r="M39" s="64">
        <f>ROUND(VLOOKUP($A39,'Contribution Allocation_Report'!$A$9:$D$311,4,FALSE)*$M$326,0)</f>
        <v>-748312</v>
      </c>
      <c r="N39" s="64">
        <f>ROUND(VLOOKUP($A39,'Contribution Allocation_Report'!$A$9:$D$311,4,FALSE)*$N$326,0)</f>
        <v>-1128209</v>
      </c>
      <c r="O39" s="64">
        <f>ROUND(VLOOKUP($A39,'Contribution Allocation_Report'!$A$9:$D$311,4,FALSE)*$O$326,0)</f>
        <v>-642706</v>
      </c>
      <c r="Q39" s="64">
        <f>+K39+VLOOKUP(A39,'Change in Proportion Layers'!$A$8:$N$324,3,FALSE)+VLOOKUP(A39,'Change in Proportion Layers'!$A$8:$Y$324,10,FALSE)+VLOOKUP(A39,'Change in Proportion Layers'!$A$8:$Y$324,16,FALSE)+VLOOKUP(A39,'Change in Proportion Layers'!$A$8:$Y$324,21,FALSE)+VLOOKUP(A39,'Change in Proportion Layers'!$A$8:$Y$324,25,FALSE)</f>
        <v>-1680814</v>
      </c>
      <c r="R39" s="64">
        <f>+L39+VLOOKUP(A39,'Change in Proportion Layers'!$A$8:$Y$324,4,FALSE)+VLOOKUP(A39,'Change in Proportion Layers'!$A$8:$Y$324,11,FALSE)+VLOOKUP(A39,'Change in Proportion Layers'!$A$8:$Y$324,17,FALSE)+VLOOKUP(A39,'Change in Proportion Layers'!$A$8:$Y$324,22,FALSE)</f>
        <v>-1240681</v>
      </c>
      <c r="S39" s="64">
        <f>+M39+VLOOKUP(A39,'Change in Proportion Layers'!$A$8:$Y$324,5,FALSE)+VLOOKUP(A39,'Change in Proportion Layers'!$A$8:$Y$324,12,FALSE)+VLOOKUP(A39,'Change in Proportion Layers'!$A$8:$Y$324,18,FALSE)</f>
        <v>-755852</v>
      </c>
      <c r="T39" s="64">
        <f>+N39+VLOOKUP(A39,'Change in Proportion Layers'!$A$8:$Y$324,6,FALSE)+VLOOKUP(A39,'Change in Proportion Layers'!$A$8:$Y$324,13,FALSE)</f>
        <v>-1217636</v>
      </c>
      <c r="U39" s="64">
        <f>+O39+VLOOKUP(A39,'Change in Proportion Layers'!$A$8:$Y$324,7,FALSE)-1</f>
        <v>-726250</v>
      </c>
      <c r="W39" s="64">
        <f>('OPEB Amounts_Report'!H38-'OPEB Amounts_Report'!M38)</f>
        <v>-6986846</v>
      </c>
      <c r="X39" s="129">
        <f>SUM(Q39:U39)-('OPEB Amounts_Report'!H39-'OPEB Amounts_Report'!M39)</f>
        <v>0</v>
      </c>
    </row>
    <row r="40" spans="1:24">
      <c r="A40" s="184">
        <v>26077</v>
      </c>
      <c r="B40" s="185" t="s">
        <v>29</v>
      </c>
      <c r="C40" s="63">
        <f t="shared" si="0"/>
        <v>-309127</v>
      </c>
      <c r="D40" s="63">
        <f t="shared" si="0"/>
        <v>-236876</v>
      </c>
      <c r="E40" s="63">
        <f t="shared" si="0"/>
        <v>-141824</v>
      </c>
      <c r="F40" s="63">
        <f t="shared" si="0"/>
        <v>-224633</v>
      </c>
      <c r="G40" s="63">
        <f t="shared" si="0"/>
        <v>-117112</v>
      </c>
      <c r="I40" s="186"/>
      <c r="K40" s="64">
        <f>ROUND(VLOOKUP($A40,'Contribution Allocation_Report'!$A$9:$D$311,4,FALSE)*$K$326,0)</f>
        <v>-337973</v>
      </c>
      <c r="L40" s="64">
        <f>ROUND(VLOOKUP($A40,'Contribution Allocation_Report'!$A$9:$D$311,4,FALSE)*$L$326,0)</f>
        <v>-245590</v>
      </c>
      <c r="M40" s="64">
        <f>ROUND(VLOOKUP($A40,'Contribution Allocation_Report'!$A$9:$D$311,4,FALSE)*$M$326,0)</f>
        <v>-148205</v>
      </c>
      <c r="N40" s="64">
        <f>ROUND(VLOOKUP($A40,'Contribution Allocation_Report'!$A$9:$D$311,4,FALSE)*$N$326,0)</f>
        <v>-223445</v>
      </c>
      <c r="O40" s="64">
        <f>ROUND(VLOOKUP($A40,'Contribution Allocation_Report'!$A$9:$D$311,4,FALSE)*$O$326,0)</f>
        <v>-127290</v>
      </c>
      <c r="Q40" s="64">
        <f>+K40+VLOOKUP(A40,'Change in Proportion Layers'!$A$8:$N$324,3,FALSE)+VLOOKUP(A40,'Change in Proportion Layers'!$A$8:$Y$324,10,FALSE)+VLOOKUP(A40,'Change in Proportion Layers'!$A$8:$Y$324,16,FALSE)+VLOOKUP(A40,'Change in Proportion Layers'!$A$8:$Y$324,21,FALSE)+VLOOKUP(A40,'Change in Proportion Layers'!$A$8:$Y$324,25,FALSE)</f>
        <v>-309127</v>
      </c>
      <c r="R40" s="64">
        <f>+L40+VLOOKUP(A40,'Change in Proportion Layers'!$A$8:$Y$324,4,FALSE)+VLOOKUP(A40,'Change in Proportion Layers'!$A$8:$Y$324,11,FALSE)+VLOOKUP(A40,'Change in Proportion Layers'!$A$8:$Y$324,17,FALSE)+VLOOKUP(A40,'Change in Proportion Layers'!$A$8:$Y$324,22,FALSE)</f>
        <v>-236876</v>
      </c>
      <c r="S40" s="64">
        <f>+M40+VLOOKUP(A40,'Change in Proportion Layers'!$A$8:$Y$324,5,FALSE)+VLOOKUP(A40,'Change in Proportion Layers'!$A$8:$Y$324,12,FALSE)+VLOOKUP(A40,'Change in Proportion Layers'!$A$8:$Y$324,18,FALSE)</f>
        <v>-141824</v>
      </c>
      <c r="T40" s="64">
        <f>+N40+VLOOKUP(A40,'Change in Proportion Layers'!$A$8:$Y$324,6,FALSE)+VLOOKUP(A40,'Change in Proportion Layers'!$A$8:$Y$324,13,FALSE)</f>
        <v>-224633</v>
      </c>
      <c r="U40" s="64">
        <f>+O40+VLOOKUP(A40,'Change in Proportion Layers'!$A$8:$Y$324,7,FALSE)+1</f>
        <v>-117112</v>
      </c>
      <c r="W40" s="64">
        <f>('OPEB Amounts_Report'!H39-'OPEB Amounts_Report'!M39)</f>
        <v>-5621233</v>
      </c>
      <c r="X40" s="129">
        <f>SUM(Q40:U40)-('OPEB Amounts_Report'!H40-'OPEB Amounts_Report'!M40)</f>
        <v>0</v>
      </c>
    </row>
    <row r="41" spans="1:24">
      <c r="A41" s="187">
        <v>3005</v>
      </c>
      <c r="B41" s="188" t="s">
        <v>30</v>
      </c>
      <c r="C41" s="5">
        <f t="shared" si="0"/>
        <v>-4444168</v>
      </c>
      <c r="D41" s="5">
        <f t="shared" si="0"/>
        <v>-3390058</v>
      </c>
      <c r="E41" s="5">
        <f t="shared" si="0"/>
        <v>-2201467</v>
      </c>
      <c r="F41" s="5">
        <f t="shared" si="0"/>
        <v>-2599765</v>
      </c>
      <c r="G41" s="5">
        <f t="shared" si="0"/>
        <v>-1353215</v>
      </c>
      <c r="I41" s="186"/>
      <c r="K41" s="64">
        <f>ROUND(VLOOKUP($A41,'Contribution Allocation_Report'!$A$9:$D$311,4,FALSE)*$K$326,0)</f>
        <v>-3955690</v>
      </c>
      <c r="L41" s="64">
        <f>ROUND(VLOOKUP($A41,'Contribution Allocation_Report'!$A$9:$D$311,4,FALSE)*$L$326,0)</f>
        <v>-2874427</v>
      </c>
      <c r="M41" s="64">
        <f>ROUND(VLOOKUP($A41,'Contribution Allocation_Report'!$A$9:$D$311,4,FALSE)*$M$326,0)</f>
        <v>-1734617</v>
      </c>
      <c r="N41" s="64">
        <f>ROUND(VLOOKUP($A41,'Contribution Allocation_Report'!$A$9:$D$311,4,FALSE)*$N$326,0)</f>
        <v>-2615230</v>
      </c>
      <c r="O41" s="64">
        <f>ROUND(VLOOKUP($A41,'Contribution Allocation_Report'!$A$9:$D$311,4,FALSE)*$O$326,0)</f>
        <v>-1489817</v>
      </c>
      <c r="Q41" s="64">
        <f>+K41+VLOOKUP(A41,'Change in Proportion Layers'!$A$8:$N$324,3,FALSE)+VLOOKUP(A41,'Change in Proportion Layers'!$A$8:$Y$324,10,FALSE)+VLOOKUP(A41,'Change in Proportion Layers'!$A$8:$Y$324,16,FALSE)+VLOOKUP(A41,'Change in Proportion Layers'!$A$8:$Y$324,21,FALSE)+VLOOKUP(A41,'Change in Proportion Layers'!$A$8:$Y$324,25,FALSE)</f>
        <v>-4444168</v>
      </c>
      <c r="R41" s="64">
        <f>+L41+VLOOKUP(A41,'Change in Proportion Layers'!$A$8:$Y$324,4,FALSE)+VLOOKUP(A41,'Change in Proportion Layers'!$A$8:$Y$324,11,FALSE)+VLOOKUP(A41,'Change in Proportion Layers'!$A$8:$Y$324,17,FALSE)+VLOOKUP(A41,'Change in Proportion Layers'!$A$8:$Y$324,22,FALSE)</f>
        <v>-3390058</v>
      </c>
      <c r="S41" s="64">
        <f>+M41+VLOOKUP(A41,'Change in Proportion Layers'!$A$8:$Y$324,5,FALSE)+VLOOKUP(A41,'Change in Proportion Layers'!$A$8:$Y$324,12,FALSE)+VLOOKUP(A41,'Change in Proportion Layers'!$A$8:$Y$324,18,FALSE)</f>
        <v>-2201467</v>
      </c>
      <c r="T41" s="64">
        <f>+N41+VLOOKUP(A41,'Change in Proportion Layers'!$A$8:$Y$324,6,FALSE)+VLOOKUP(A41,'Change in Proportion Layers'!$A$8:$Y$324,13,FALSE)</f>
        <v>-2599765</v>
      </c>
      <c r="U41" s="64">
        <f>+O41+VLOOKUP(A41,'Change in Proportion Layers'!$A$8:$Y$324,7,FALSE)+1</f>
        <v>-1353215</v>
      </c>
      <c r="W41" s="64">
        <f>('OPEB Amounts_Report'!H40-'OPEB Amounts_Report'!M40)</f>
        <v>-1029572</v>
      </c>
      <c r="X41" s="129">
        <f>SUM(Q41:U41)-('OPEB Amounts_Report'!H41-'OPEB Amounts_Report'!M41)</f>
        <v>0</v>
      </c>
    </row>
    <row r="42" spans="1:24">
      <c r="A42" s="184">
        <v>26078</v>
      </c>
      <c r="B42" s="185" t="s">
        <v>31</v>
      </c>
      <c r="C42" s="63">
        <f t="shared" si="0"/>
        <v>-141911</v>
      </c>
      <c r="D42" s="63">
        <f t="shared" si="0"/>
        <v>-109104</v>
      </c>
      <c r="E42" s="63">
        <f t="shared" si="0"/>
        <v>-65303</v>
      </c>
      <c r="F42" s="63">
        <f t="shared" si="0"/>
        <v>-111538</v>
      </c>
      <c r="G42" s="63">
        <f t="shared" si="0"/>
        <v>-61033</v>
      </c>
      <c r="I42" s="186"/>
      <c r="K42" s="64">
        <f>ROUND(VLOOKUP($A42,'Contribution Allocation_Report'!$A$9:$D$311,4,FALSE)*$K$326,0)</f>
        <v>-137193</v>
      </c>
      <c r="L42" s="64">
        <f>ROUND(VLOOKUP($A42,'Contribution Allocation_Report'!$A$9:$D$311,4,FALSE)*$L$326,0)</f>
        <v>-99692</v>
      </c>
      <c r="M42" s="64">
        <f>ROUND(VLOOKUP($A42,'Contribution Allocation_Report'!$A$9:$D$311,4,FALSE)*$M$326,0)</f>
        <v>-60161</v>
      </c>
      <c r="N42" s="64">
        <f>ROUND(VLOOKUP($A42,'Contribution Allocation_Report'!$A$9:$D$311,4,FALSE)*$N$326,0)</f>
        <v>-90703</v>
      </c>
      <c r="O42" s="64">
        <f>ROUND(VLOOKUP($A42,'Contribution Allocation_Report'!$A$9:$D$311,4,FALSE)*$O$326,0)</f>
        <v>-51671</v>
      </c>
      <c r="Q42" s="64">
        <f>+K42+VLOOKUP(A42,'Change in Proportion Layers'!$A$8:$N$324,3,FALSE)+VLOOKUP(A42,'Change in Proportion Layers'!$A$8:$Y$324,10,FALSE)+VLOOKUP(A42,'Change in Proportion Layers'!$A$8:$Y$324,16,FALSE)+VLOOKUP(A42,'Change in Proportion Layers'!$A$8:$Y$324,21,FALSE)+VLOOKUP(A42,'Change in Proportion Layers'!$A$8:$Y$324,25,FALSE)</f>
        <v>-141911</v>
      </c>
      <c r="R42" s="64">
        <f>+L42+VLOOKUP(A42,'Change in Proportion Layers'!$A$8:$Y$324,4,FALSE)+VLOOKUP(A42,'Change in Proportion Layers'!$A$8:$Y$324,11,FALSE)+VLOOKUP(A42,'Change in Proportion Layers'!$A$8:$Y$324,17,FALSE)+VLOOKUP(A42,'Change in Proportion Layers'!$A$8:$Y$324,22,FALSE)</f>
        <v>-109104</v>
      </c>
      <c r="S42" s="64">
        <f>+M42+VLOOKUP(A42,'Change in Proportion Layers'!$A$8:$Y$324,5,FALSE)+VLOOKUP(A42,'Change in Proportion Layers'!$A$8:$Y$324,12,FALSE)+VLOOKUP(A42,'Change in Proportion Layers'!$A$8:$Y$324,18,FALSE)</f>
        <v>-65303</v>
      </c>
      <c r="T42" s="64">
        <f>+N42+VLOOKUP(A42,'Change in Proportion Layers'!$A$8:$Y$324,6,FALSE)+VLOOKUP(A42,'Change in Proportion Layers'!$A$8:$Y$324,13,FALSE)</f>
        <v>-111538</v>
      </c>
      <c r="U42" s="64">
        <f>+O42+VLOOKUP(A42,'Change in Proportion Layers'!$A$8:$Y$324,7,FALSE)+2</f>
        <v>-61033</v>
      </c>
      <c r="W42" s="64">
        <f>('OPEB Amounts_Report'!H41-'OPEB Amounts_Report'!M41)</f>
        <v>-13988673</v>
      </c>
      <c r="X42" s="129">
        <f>SUM(Q42:U42)-('OPEB Amounts_Report'!H42-'OPEB Amounts_Report'!M42)</f>
        <v>0</v>
      </c>
    </row>
    <row r="43" spans="1:24">
      <c r="A43" s="187">
        <v>16053</v>
      </c>
      <c r="B43" s="188" t="s">
        <v>32</v>
      </c>
      <c r="C43" s="5">
        <f t="shared" si="0"/>
        <v>-4372615</v>
      </c>
      <c r="D43" s="5">
        <f t="shared" si="0"/>
        <v>-3038087</v>
      </c>
      <c r="E43" s="5">
        <f t="shared" si="0"/>
        <v>-1837240</v>
      </c>
      <c r="F43" s="5">
        <f t="shared" si="0"/>
        <v>-2606966</v>
      </c>
      <c r="G43" s="5">
        <f t="shared" si="0"/>
        <v>-1710105</v>
      </c>
      <c r="I43" s="186"/>
      <c r="K43" s="64">
        <f>ROUND(VLOOKUP($A43,'Contribution Allocation_Report'!$A$9:$D$311,4,FALSE)*$K$326,0)</f>
        <v>-4227333</v>
      </c>
      <c r="L43" s="64">
        <f>ROUND(VLOOKUP($A43,'Contribution Allocation_Report'!$A$9:$D$311,4,FALSE)*$L$326,0)</f>
        <v>-3071818</v>
      </c>
      <c r="M43" s="64">
        <f>ROUND(VLOOKUP($A43,'Contribution Allocation_Report'!$A$9:$D$311,4,FALSE)*$M$326,0)</f>
        <v>-1853735</v>
      </c>
      <c r="N43" s="64">
        <f>ROUND(VLOOKUP($A43,'Contribution Allocation_Report'!$A$9:$D$311,4,FALSE)*$N$326,0)</f>
        <v>-2794822</v>
      </c>
      <c r="O43" s="64">
        <f>ROUND(VLOOKUP($A43,'Contribution Allocation_Report'!$A$9:$D$311,4,FALSE)*$O$326,0)</f>
        <v>-1592124</v>
      </c>
      <c r="Q43" s="64">
        <f>+K43+VLOOKUP(A43,'Change in Proportion Layers'!$A$8:$N$324,3,FALSE)+VLOOKUP(A43,'Change in Proportion Layers'!$A$8:$Y$324,10,FALSE)+VLOOKUP(A43,'Change in Proportion Layers'!$A$8:$Y$324,16,FALSE)+VLOOKUP(A43,'Change in Proportion Layers'!$A$8:$Y$324,21,FALSE)+VLOOKUP(A43,'Change in Proportion Layers'!$A$8:$Y$324,25,FALSE)</f>
        <v>-4372615</v>
      </c>
      <c r="R43" s="64">
        <f>+L43+VLOOKUP(A43,'Change in Proportion Layers'!$A$8:$Y$324,4,FALSE)+VLOOKUP(A43,'Change in Proportion Layers'!$A$8:$Y$324,11,FALSE)+VLOOKUP(A43,'Change in Proportion Layers'!$A$8:$Y$324,17,FALSE)+VLOOKUP(A43,'Change in Proportion Layers'!$A$8:$Y$324,22,FALSE)</f>
        <v>-3038087</v>
      </c>
      <c r="S43" s="64">
        <f>+M43+VLOOKUP(A43,'Change in Proportion Layers'!$A$8:$Y$324,5,FALSE)+VLOOKUP(A43,'Change in Proportion Layers'!$A$8:$Y$324,12,FALSE)+VLOOKUP(A43,'Change in Proportion Layers'!$A$8:$Y$324,18,FALSE)</f>
        <v>-1837240</v>
      </c>
      <c r="T43" s="64">
        <f>+N43+VLOOKUP(A43,'Change in Proportion Layers'!$A$8:$Y$324,6,FALSE)+VLOOKUP(A43,'Change in Proportion Layers'!$A$8:$Y$324,13,FALSE)</f>
        <v>-2606966</v>
      </c>
      <c r="U43" s="64">
        <f>+O43+VLOOKUP(A43,'Change in Proportion Layers'!$A$8:$Y$324,7,FALSE)</f>
        <v>-1710105</v>
      </c>
      <c r="W43" s="64">
        <f>('OPEB Amounts_Report'!H42-'OPEB Amounts_Report'!M42)</f>
        <v>-488889</v>
      </c>
      <c r="X43" s="129">
        <f>SUM(Q43:U43)-('OPEB Amounts_Report'!H43-'OPEB Amounts_Report'!M43)</f>
        <v>0</v>
      </c>
    </row>
    <row r="44" spans="1:24">
      <c r="A44" s="184">
        <v>2123</v>
      </c>
      <c r="B44" s="185" t="s">
        <v>33</v>
      </c>
      <c r="C44" s="63">
        <f t="shared" si="0"/>
        <v>-8370010</v>
      </c>
      <c r="D44" s="63">
        <f t="shared" si="0"/>
        <v>-6085860</v>
      </c>
      <c r="E44" s="63">
        <f t="shared" si="0"/>
        <v>-2446028</v>
      </c>
      <c r="F44" s="63">
        <f t="shared" si="0"/>
        <v>-4988034</v>
      </c>
      <c r="G44" s="63">
        <f t="shared" si="0"/>
        <v>-2495390</v>
      </c>
      <c r="I44" s="186"/>
      <c r="K44" s="64">
        <f>ROUND(VLOOKUP($A44,'Contribution Allocation_Report'!$A$9:$D$311,4,FALSE)*$K$326,0)</f>
        <v>-8139777</v>
      </c>
      <c r="L44" s="64">
        <f>ROUND(VLOOKUP($A44,'Contribution Allocation_Report'!$A$9:$D$311,4,FALSE)*$L$326,0)</f>
        <v>-5914820</v>
      </c>
      <c r="M44" s="64">
        <f>ROUND(VLOOKUP($A44,'Contribution Allocation_Report'!$A$9:$D$311,4,FALSE)*$M$326,0)</f>
        <v>-3569388</v>
      </c>
      <c r="N44" s="64">
        <f>ROUND(VLOOKUP($A44,'Contribution Allocation_Report'!$A$9:$D$311,4,FALSE)*$N$326,0)</f>
        <v>-5381461</v>
      </c>
      <c r="O44" s="64">
        <f>ROUND(VLOOKUP($A44,'Contribution Allocation_Report'!$A$9:$D$311,4,FALSE)*$O$326,0)</f>
        <v>-3065653</v>
      </c>
      <c r="Q44" s="64">
        <f>+K44+VLOOKUP(A44,'Change in Proportion Layers'!$A$8:$N$324,3,FALSE)+VLOOKUP(A44,'Change in Proportion Layers'!$A$8:$Y$324,10,FALSE)+VLOOKUP(A44,'Change in Proportion Layers'!$A$8:$Y$324,16,FALSE)+VLOOKUP(A44,'Change in Proportion Layers'!$A$8:$Y$324,21,FALSE)+VLOOKUP(A44,'Change in Proportion Layers'!$A$8:$Y$324,25,FALSE)</f>
        <v>-8370010</v>
      </c>
      <c r="R44" s="64">
        <f>+L44+VLOOKUP(A44,'Change in Proportion Layers'!$A$8:$Y$324,4,FALSE)+VLOOKUP(A44,'Change in Proportion Layers'!$A$8:$Y$324,11,FALSE)+VLOOKUP(A44,'Change in Proportion Layers'!$A$8:$Y$324,17,FALSE)+VLOOKUP(A44,'Change in Proportion Layers'!$A$8:$Y$324,22,FALSE)</f>
        <v>-6085860</v>
      </c>
      <c r="S44" s="64">
        <f>+M44+VLOOKUP(A44,'Change in Proportion Layers'!$A$8:$Y$324,5,FALSE)+VLOOKUP(A44,'Change in Proportion Layers'!$A$8:$Y$324,12,FALSE)+VLOOKUP(A44,'Change in Proportion Layers'!$A$8:$Y$324,18,FALSE)</f>
        <v>-2446028</v>
      </c>
      <c r="T44" s="64">
        <f>+N44+VLOOKUP(A44,'Change in Proportion Layers'!$A$8:$Y$324,6,FALSE)+VLOOKUP(A44,'Change in Proportion Layers'!$A$8:$Y$324,13,FALSE)</f>
        <v>-4988034</v>
      </c>
      <c r="U44" s="64">
        <f>+O44+VLOOKUP(A44,'Change in Proportion Layers'!$A$8:$Y$324,7,FALSE)+1</f>
        <v>-2495390</v>
      </c>
      <c r="W44" s="64">
        <f>('OPEB Amounts_Report'!H43-'OPEB Amounts_Report'!M43)</f>
        <v>-13565013</v>
      </c>
      <c r="X44" s="129">
        <f>SUM(Q44:U44)-('OPEB Amounts_Report'!H44-'OPEB Amounts_Report'!M44)</f>
        <v>0</v>
      </c>
    </row>
    <row r="45" spans="1:24">
      <c r="A45" s="187">
        <v>2150</v>
      </c>
      <c r="B45" s="188" t="s">
        <v>34</v>
      </c>
      <c r="C45" s="5">
        <f t="shared" si="0"/>
        <v>-169057</v>
      </c>
      <c r="D45" s="5">
        <f t="shared" si="0"/>
        <v>-87909</v>
      </c>
      <c r="E45" s="5">
        <f t="shared" si="0"/>
        <v>12879</v>
      </c>
      <c r="F45" s="5">
        <f t="shared" si="0"/>
        <v>-78529</v>
      </c>
      <c r="G45" s="5">
        <f t="shared" si="0"/>
        <v>-153872</v>
      </c>
      <c r="I45" s="186"/>
      <c r="K45" s="64">
        <f>ROUND(VLOOKUP($A45,'Contribution Allocation_Report'!$A$9:$D$311,4,FALSE)*$K$326,0)</f>
        <v>-361929</v>
      </c>
      <c r="L45" s="64">
        <f>ROUND(VLOOKUP($A45,'Contribution Allocation_Report'!$A$9:$D$311,4,FALSE)*$L$326,0)</f>
        <v>-262998</v>
      </c>
      <c r="M45" s="64">
        <f>ROUND(VLOOKUP($A45,'Contribution Allocation_Report'!$A$9:$D$311,4,FALSE)*$M$326,0)</f>
        <v>-158710</v>
      </c>
      <c r="N45" s="64">
        <f>ROUND(VLOOKUP($A45,'Contribution Allocation_Report'!$A$9:$D$311,4,FALSE)*$N$326,0)</f>
        <v>-239283</v>
      </c>
      <c r="O45" s="64">
        <f>ROUND(VLOOKUP($A45,'Contribution Allocation_Report'!$A$9:$D$311,4,FALSE)*$O$326,0)</f>
        <v>-136312</v>
      </c>
      <c r="Q45" s="64">
        <f>+K45+VLOOKUP(A45,'Change in Proportion Layers'!$A$8:$N$324,3,FALSE)+VLOOKUP(A45,'Change in Proportion Layers'!$A$8:$Y$324,10,FALSE)+VLOOKUP(A45,'Change in Proportion Layers'!$A$8:$Y$324,16,FALSE)+VLOOKUP(A45,'Change in Proportion Layers'!$A$8:$Y$324,21,FALSE)+VLOOKUP(A45,'Change in Proportion Layers'!$A$8:$Y$324,25,FALSE)</f>
        <v>-169057</v>
      </c>
      <c r="R45" s="64">
        <f>+L45+VLOOKUP(A45,'Change in Proportion Layers'!$A$8:$Y$324,4,FALSE)+VLOOKUP(A45,'Change in Proportion Layers'!$A$8:$Y$324,11,FALSE)+VLOOKUP(A45,'Change in Proportion Layers'!$A$8:$Y$324,17,FALSE)+VLOOKUP(A45,'Change in Proportion Layers'!$A$8:$Y$324,22,FALSE)</f>
        <v>-87909</v>
      </c>
      <c r="S45" s="64">
        <f>+M45+VLOOKUP(A45,'Change in Proportion Layers'!$A$8:$Y$324,5,FALSE)+VLOOKUP(A45,'Change in Proportion Layers'!$A$8:$Y$324,12,FALSE)+VLOOKUP(A45,'Change in Proportion Layers'!$A$8:$Y$324,18,FALSE)</f>
        <v>12879</v>
      </c>
      <c r="T45" s="64">
        <f>+N45+VLOOKUP(A45,'Change in Proportion Layers'!$A$8:$Y$324,6,FALSE)+VLOOKUP(A45,'Change in Proportion Layers'!$A$8:$Y$324,13,FALSE)</f>
        <v>-78529</v>
      </c>
      <c r="U45" s="64">
        <f>+O45+VLOOKUP(A45,'Change in Proportion Layers'!$A$8:$Y$324,7,FALSE)+1</f>
        <v>-153872</v>
      </c>
      <c r="W45" s="64">
        <f>('OPEB Amounts_Report'!H44-'OPEB Amounts_Report'!M44)</f>
        <v>-24385322</v>
      </c>
      <c r="X45" s="129">
        <f>SUM(Q45:U45)-('OPEB Amounts_Report'!H45-'OPEB Amounts_Report'!M45)</f>
        <v>0</v>
      </c>
    </row>
    <row r="46" spans="1:24">
      <c r="A46" s="184">
        <v>2336</v>
      </c>
      <c r="B46" s="185" t="s">
        <v>35</v>
      </c>
      <c r="C46" s="63">
        <f t="shared" si="0"/>
        <v>-89790</v>
      </c>
      <c r="D46" s="63">
        <f t="shared" si="0"/>
        <v>-70455</v>
      </c>
      <c r="E46" s="63">
        <f t="shared" si="0"/>
        <v>-56711</v>
      </c>
      <c r="F46" s="63">
        <f t="shared" si="0"/>
        <v>-87882</v>
      </c>
      <c r="G46" s="63">
        <f t="shared" si="0"/>
        <v>-43990</v>
      </c>
      <c r="I46" s="186"/>
      <c r="K46" s="64">
        <f>ROUND(VLOOKUP($A46,'Contribution Allocation_Report'!$A$9:$D$311,4,FALSE)*$K$326,0)</f>
        <v>-107911</v>
      </c>
      <c r="L46" s="64">
        <f>ROUND(VLOOKUP($A46,'Contribution Allocation_Report'!$A$9:$D$311,4,FALSE)*$L$326,0)</f>
        <v>-78414</v>
      </c>
      <c r="M46" s="64">
        <f>ROUND(VLOOKUP($A46,'Contribution Allocation_Report'!$A$9:$D$311,4,FALSE)*$M$326,0)</f>
        <v>-47320</v>
      </c>
      <c r="N46" s="64">
        <f>ROUND(VLOOKUP($A46,'Contribution Allocation_Report'!$A$9:$D$311,4,FALSE)*$N$326,0)</f>
        <v>-71343</v>
      </c>
      <c r="O46" s="64">
        <f>ROUND(VLOOKUP($A46,'Contribution Allocation_Report'!$A$9:$D$311,4,FALSE)*$O$326,0)</f>
        <v>-40642</v>
      </c>
      <c r="Q46" s="64">
        <f>+K46+VLOOKUP(A46,'Change in Proportion Layers'!$A$8:$N$324,3,FALSE)+VLOOKUP(A46,'Change in Proportion Layers'!$A$8:$Y$324,10,FALSE)+VLOOKUP(A46,'Change in Proportion Layers'!$A$8:$Y$324,16,FALSE)+VLOOKUP(A46,'Change in Proportion Layers'!$A$8:$Y$324,21,FALSE)+VLOOKUP(A46,'Change in Proportion Layers'!$A$8:$Y$324,25,FALSE)</f>
        <v>-89790</v>
      </c>
      <c r="R46" s="64">
        <f>+L46+VLOOKUP(A46,'Change in Proportion Layers'!$A$8:$Y$324,4,FALSE)+VLOOKUP(A46,'Change in Proportion Layers'!$A$8:$Y$324,11,FALSE)+VLOOKUP(A46,'Change in Proportion Layers'!$A$8:$Y$324,17,FALSE)+VLOOKUP(A46,'Change in Proportion Layers'!$A$8:$Y$324,22,FALSE)</f>
        <v>-70455</v>
      </c>
      <c r="S46" s="64">
        <f>+M46+VLOOKUP(A46,'Change in Proportion Layers'!$A$8:$Y$324,5,FALSE)+VLOOKUP(A46,'Change in Proportion Layers'!$A$8:$Y$324,12,FALSE)+VLOOKUP(A46,'Change in Proportion Layers'!$A$8:$Y$324,18,FALSE)</f>
        <v>-56711</v>
      </c>
      <c r="T46" s="64">
        <f>+N46+VLOOKUP(A46,'Change in Proportion Layers'!$A$8:$Y$324,6,FALSE)+VLOOKUP(A46,'Change in Proportion Layers'!$A$8:$Y$324,13,FALSE)</f>
        <v>-87882</v>
      </c>
      <c r="U46" s="64">
        <f>+O46+VLOOKUP(A46,'Change in Proportion Layers'!$A$8:$Y$324,7,FALSE)-2</f>
        <v>-43990</v>
      </c>
      <c r="W46" s="64">
        <f>('OPEB Amounts_Report'!H45-'OPEB Amounts_Report'!M45)</f>
        <v>-476488</v>
      </c>
      <c r="X46" s="129">
        <f>SUM(Q46:U46)-('OPEB Amounts_Report'!H46-'OPEB Amounts_Report'!M46)</f>
        <v>0</v>
      </c>
    </row>
    <row r="47" spans="1:24">
      <c r="A47" s="187">
        <v>17126</v>
      </c>
      <c r="B47" s="188" t="s">
        <v>36</v>
      </c>
      <c r="C47" s="5">
        <f t="shared" si="0"/>
        <v>-367614</v>
      </c>
      <c r="D47" s="5">
        <f t="shared" si="0"/>
        <v>-250249</v>
      </c>
      <c r="E47" s="5">
        <f t="shared" si="0"/>
        <v>-143579</v>
      </c>
      <c r="F47" s="5">
        <f t="shared" si="0"/>
        <v>-235020</v>
      </c>
      <c r="G47" s="5">
        <f t="shared" si="0"/>
        <v>-117460</v>
      </c>
      <c r="I47" s="186"/>
      <c r="K47" s="64">
        <f>ROUND(VLOOKUP($A47,'Contribution Allocation_Report'!$A$9:$D$311,4,FALSE)*$K$326,0)</f>
        <v>-317623</v>
      </c>
      <c r="L47" s="64">
        <f>ROUND(VLOOKUP($A47,'Contribution Allocation_Report'!$A$9:$D$311,4,FALSE)*$L$326,0)</f>
        <v>-230803</v>
      </c>
      <c r="M47" s="64">
        <f>ROUND(VLOOKUP($A47,'Contribution Allocation_Report'!$A$9:$D$311,4,FALSE)*$M$326,0)</f>
        <v>-139282</v>
      </c>
      <c r="N47" s="64">
        <f>ROUND(VLOOKUP($A47,'Contribution Allocation_Report'!$A$9:$D$311,4,FALSE)*$N$326,0)</f>
        <v>-209991</v>
      </c>
      <c r="O47" s="64">
        <f>ROUND(VLOOKUP($A47,'Contribution Allocation_Report'!$A$9:$D$311,4,FALSE)*$O$326,0)</f>
        <v>-119625</v>
      </c>
      <c r="Q47" s="64">
        <f>+K47+VLOOKUP(A47,'Change in Proportion Layers'!$A$8:$N$324,3,FALSE)+VLOOKUP(A47,'Change in Proportion Layers'!$A$8:$Y$324,10,FALSE)+VLOOKUP(A47,'Change in Proportion Layers'!$A$8:$Y$324,16,FALSE)+VLOOKUP(A47,'Change in Proportion Layers'!$A$8:$Y$324,21,FALSE)+VLOOKUP(A47,'Change in Proportion Layers'!$A$8:$Y$324,25,FALSE)</f>
        <v>-367614</v>
      </c>
      <c r="R47" s="64">
        <f>+L47+VLOOKUP(A47,'Change in Proportion Layers'!$A$8:$Y$324,4,FALSE)+VLOOKUP(A47,'Change in Proportion Layers'!$A$8:$Y$324,11,FALSE)+VLOOKUP(A47,'Change in Proportion Layers'!$A$8:$Y$324,17,FALSE)+VLOOKUP(A47,'Change in Proportion Layers'!$A$8:$Y$324,22,FALSE)</f>
        <v>-250249</v>
      </c>
      <c r="S47" s="64">
        <f>+M47+VLOOKUP(A47,'Change in Proportion Layers'!$A$8:$Y$324,5,FALSE)+VLOOKUP(A47,'Change in Proportion Layers'!$A$8:$Y$324,12,FALSE)+VLOOKUP(A47,'Change in Proportion Layers'!$A$8:$Y$324,18,FALSE)</f>
        <v>-143579</v>
      </c>
      <c r="T47" s="64">
        <f>+N47+VLOOKUP(A47,'Change in Proportion Layers'!$A$8:$Y$324,6,FALSE)+VLOOKUP(A47,'Change in Proportion Layers'!$A$8:$Y$324,13,FALSE)</f>
        <v>-235020</v>
      </c>
      <c r="U47" s="64">
        <f>+O47+VLOOKUP(A47,'Change in Proportion Layers'!$A$8:$Y$324,7,FALSE)</f>
        <v>-117460</v>
      </c>
      <c r="W47" s="64">
        <f>('OPEB Amounts_Report'!H46-'OPEB Amounts_Report'!M46)</f>
        <v>-348828</v>
      </c>
      <c r="X47" s="129">
        <f>SUM(Q47:U47)-('OPEB Amounts_Report'!H47-'OPEB Amounts_Report'!M47)</f>
        <v>0</v>
      </c>
    </row>
    <row r="48" spans="1:24">
      <c r="A48" s="184">
        <v>3030</v>
      </c>
      <c r="B48" s="185" t="s">
        <v>37</v>
      </c>
      <c r="C48" s="63">
        <f t="shared" si="0"/>
        <v>-1262216</v>
      </c>
      <c r="D48" s="63">
        <f t="shared" si="0"/>
        <v>-974983</v>
      </c>
      <c r="E48" s="63">
        <f t="shared" si="0"/>
        <v>-687393</v>
      </c>
      <c r="F48" s="63">
        <f t="shared" si="0"/>
        <v>-822565</v>
      </c>
      <c r="G48" s="63">
        <f t="shared" si="0"/>
        <v>-462477</v>
      </c>
      <c r="I48" s="186"/>
      <c r="K48" s="64">
        <f>ROUND(VLOOKUP($A48,'Contribution Allocation_Report'!$A$9:$D$311,4,FALSE)*$K$326,0)</f>
        <v>-905164</v>
      </c>
      <c r="L48" s="64">
        <f>ROUND(VLOOKUP($A48,'Contribution Allocation_Report'!$A$9:$D$311,4,FALSE)*$L$326,0)</f>
        <v>-657743</v>
      </c>
      <c r="M48" s="64">
        <f>ROUND(VLOOKUP($A48,'Contribution Allocation_Report'!$A$9:$D$311,4,FALSE)*$M$326,0)</f>
        <v>-396925</v>
      </c>
      <c r="N48" s="64">
        <f>ROUND(VLOOKUP($A48,'Contribution Allocation_Report'!$A$9:$D$311,4,FALSE)*$N$326,0)</f>
        <v>-598432</v>
      </c>
      <c r="O48" s="64">
        <f>ROUND(VLOOKUP($A48,'Contribution Allocation_Report'!$A$9:$D$311,4,FALSE)*$O$326,0)</f>
        <v>-340909</v>
      </c>
      <c r="Q48" s="64">
        <f>+K48+VLOOKUP(A48,'Change in Proportion Layers'!$A$8:$N$324,3,FALSE)+VLOOKUP(A48,'Change in Proportion Layers'!$A$8:$Y$324,10,FALSE)+VLOOKUP(A48,'Change in Proportion Layers'!$A$8:$Y$324,16,FALSE)+VLOOKUP(A48,'Change in Proportion Layers'!$A$8:$Y$324,21,FALSE)+VLOOKUP(A48,'Change in Proportion Layers'!$A$8:$Y$324,25,FALSE)</f>
        <v>-1262216</v>
      </c>
      <c r="R48" s="64">
        <f>+L48+VLOOKUP(A48,'Change in Proportion Layers'!$A$8:$Y$324,4,FALSE)+VLOOKUP(A48,'Change in Proportion Layers'!$A$8:$Y$324,11,FALSE)+VLOOKUP(A48,'Change in Proportion Layers'!$A$8:$Y$324,17,FALSE)+VLOOKUP(A48,'Change in Proportion Layers'!$A$8:$Y$324,22,FALSE)</f>
        <v>-974983</v>
      </c>
      <c r="S48" s="64">
        <f>+M48+VLOOKUP(A48,'Change in Proportion Layers'!$A$8:$Y$324,5,FALSE)+VLOOKUP(A48,'Change in Proportion Layers'!$A$8:$Y$324,12,FALSE)+VLOOKUP(A48,'Change in Proportion Layers'!$A$8:$Y$324,18,FALSE)</f>
        <v>-687393</v>
      </c>
      <c r="T48" s="64">
        <f>+N48+VLOOKUP(A48,'Change in Proportion Layers'!$A$8:$Y$324,6,FALSE)+VLOOKUP(A48,'Change in Proportion Layers'!$A$8:$Y$324,13,FALSE)</f>
        <v>-822565</v>
      </c>
      <c r="U48" s="64">
        <f>+O48+VLOOKUP(A48,'Change in Proportion Layers'!$A$8:$Y$324,7,FALSE)-1</f>
        <v>-462477</v>
      </c>
      <c r="W48" s="64">
        <f>('OPEB Amounts_Report'!H47-'OPEB Amounts_Report'!M47)</f>
        <v>-1113922</v>
      </c>
      <c r="X48" s="129">
        <f>SUM(Q48:U48)-('OPEB Amounts_Report'!H48-'OPEB Amounts_Report'!M48)</f>
        <v>0</v>
      </c>
    </row>
    <row r="49" spans="1:24">
      <c r="A49" s="187">
        <v>2353</v>
      </c>
      <c r="B49" s="188" t="s">
        <v>38</v>
      </c>
      <c r="C49" s="5">
        <f t="shared" si="0"/>
        <v>-20135</v>
      </c>
      <c r="D49" s="5">
        <f t="shared" si="0"/>
        <v>-43624</v>
      </c>
      <c r="E49" s="5">
        <f t="shared" si="0"/>
        <v>-43339</v>
      </c>
      <c r="F49" s="5">
        <f t="shared" si="0"/>
        <v>-106810</v>
      </c>
      <c r="G49" s="5">
        <f t="shared" si="0"/>
        <v>30517</v>
      </c>
      <c r="I49" s="186"/>
      <c r="K49" s="64">
        <f>ROUND(VLOOKUP($A49,'Contribution Allocation_Report'!$A$9:$D$311,4,FALSE)*$K$326,0)</f>
        <v>-296126</v>
      </c>
      <c r="L49" s="64">
        <f>ROUND(VLOOKUP($A49,'Contribution Allocation_Report'!$A$9:$D$311,4,FALSE)*$L$326,0)</f>
        <v>-215182</v>
      </c>
      <c r="M49" s="64">
        <f>ROUND(VLOOKUP($A49,'Contribution Allocation_Report'!$A$9:$D$311,4,FALSE)*$M$326,0)</f>
        <v>-129855</v>
      </c>
      <c r="N49" s="64">
        <f>ROUND(VLOOKUP($A49,'Contribution Allocation_Report'!$A$9:$D$311,4,FALSE)*$N$326,0)</f>
        <v>-195778</v>
      </c>
      <c r="O49" s="64">
        <f>ROUND(VLOOKUP($A49,'Contribution Allocation_Report'!$A$9:$D$311,4,FALSE)*$O$326,0)</f>
        <v>-111529</v>
      </c>
      <c r="Q49" s="64">
        <f>+K49+VLOOKUP(A49,'Change in Proportion Layers'!$A$8:$N$324,3,FALSE)+VLOOKUP(A49,'Change in Proportion Layers'!$A$8:$Y$324,10,FALSE)+VLOOKUP(A49,'Change in Proportion Layers'!$A$8:$Y$324,16,FALSE)+VLOOKUP(A49,'Change in Proportion Layers'!$A$8:$Y$324,21,FALSE)+VLOOKUP(A49,'Change in Proportion Layers'!$A$8:$Y$324,25,FALSE)</f>
        <v>-20135</v>
      </c>
      <c r="R49" s="64">
        <f>+L49+VLOOKUP(A49,'Change in Proportion Layers'!$A$8:$Y$324,4,FALSE)+VLOOKUP(A49,'Change in Proportion Layers'!$A$8:$Y$324,11,FALSE)+VLOOKUP(A49,'Change in Proportion Layers'!$A$8:$Y$324,17,FALSE)+VLOOKUP(A49,'Change in Proportion Layers'!$A$8:$Y$324,22,FALSE)</f>
        <v>-43624</v>
      </c>
      <c r="S49" s="64">
        <f>+M49+VLOOKUP(A49,'Change in Proportion Layers'!$A$8:$Y$324,5,FALSE)+VLOOKUP(A49,'Change in Proportion Layers'!$A$8:$Y$324,12,FALSE)+VLOOKUP(A49,'Change in Proportion Layers'!$A$8:$Y$324,18,FALSE)</f>
        <v>-43339</v>
      </c>
      <c r="T49" s="64">
        <f>+N49+VLOOKUP(A49,'Change in Proportion Layers'!$A$8:$Y$324,6,FALSE)+VLOOKUP(A49,'Change in Proportion Layers'!$A$8:$Y$324,13,FALSE)</f>
        <v>-106810</v>
      </c>
      <c r="U49" s="64">
        <f>+O49+VLOOKUP(A49,'Change in Proportion Layers'!$A$8:$Y$324,7,FALSE)-1</f>
        <v>30517</v>
      </c>
      <c r="W49" s="64">
        <f>('OPEB Amounts_Report'!H48-'OPEB Amounts_Report'!M48)</f>
        <v>-4209634</v>
      </c>
      <c r="X49" s="129">
        <f>SUM(Q49:U49)-('OPEB Amounts_Report'!H49-'OPEB Amounts_Report'!M49)</f>
        <v>0</v>
      </c>
    </row>
    <row r="50" spans="1:24">
      <c r="A50" s="184">
        <v>3040</v>
      </c>
      <c r="B50" s="185" t="s">
        <v>39</v>
      </c>
      <c r="C50" s="63">
        <f t="shared" si="0"/>
        <v>-702321</v>
      </c>
      <c r="D50" s="63">
        <f t="shared" si="0"/>
        <v>-354542</v>
      </c>
      <c r="E50" s="63">
        <f t="shared" si="0"/>
        <v>-198192</v>
      </c>
      <c r="F50" s="63">
        <f t="shared" si="0"/>
        <v>-239999</v>
      </c>
      <c r="G50" s="63">
        <f t="shared" si="0"/>
        <v>-124634</v>
      </c>
      <c r="I50" s="186"/>
      <c r="K50" s="64">
        <f>ROUND(VLOOKUP($A50,'Contribution Allocation_Report'!$A$9:$D$311,4,FALSE)*$K$326,0)</f>
        <v>-354048</v>
      </c>
      <c r="L50" s="64">
        <f>ROUND(VLOOKUP($A50,'Contribution Allocation_Report'!$A$9:$D$311,4,FALSE)*$L$326,0)</f>
        <v>-257271</v>
      </c>
      <c r="M50" s="64">
        <f>ROUND(VLOOKUP($A50,'Contribution Allocation_Report'!$A$9:$D$311,4,FALSE)*$M$326,0)</f>
        <v>-155254</v>
      </c>
      <c r="N50" s="64">
        <f>ROUND(VLOOKUP($A50,'Contribution Allocation_Report'!$A$9:$D$311,4,FALSE)*$N$326,0)</f>
        <v>-234072</v>
      </c>
      <c r="O50" s="64">
        <f>ROUND(VLOOKUP($A50,'Contribution Allocation_Report'!$A$9:$D$311,4,FALSE)*$O$326,0)</f>
        <v>-133344</v>
      </c>
      <c r="Q50" s="64">
        <f>+K50+VLOOKUP(A50,'Change in Proportion Layers'!$A$8:$N$324,3,FALSE)+VLOOKUP(A50,'Change in Proportion Layers'!$A$8:$Y$324,10,FALSE)+VLOOKUP(A50,'Change in Proportion Layers'!$A$8:$Y$324,16,FALSE)+VLOOKUP(A50,'Change in Proportion Layers'!$A$8:$Y$324,21,FALSE)+VLOOKUP(A50,'Change in Proportion Layers'!$A$8:$Y$324,25,FALSE)</f>
        <v>-702321</v>
      </c>
      <c r="R50" s="64">
        <f>+L50+VLOOKUP(A50,'Change in Proportion Layers'!$A$8:$Y$324,4,FALSE)+VLOOKUP(A50,'Change in Proportion Layers'!$A$8:$Y$324,11,FALSE)+VLOOKUP(A50,'Change in Proportion Layers'!$A$8:$Y$324,17,FALSE)+VLOOKUP(A50,'Change in Proportion Layers'!$A$8:$Y$324,22,FALSE)</f>
        <v>-354542</v>
      </c>
      <c r="S50" s="64">
        <f>+M50+VLOOKUP(A50,'Change in Proportion Layers'!$A$8:$Y$324,5,FALSE)+VLOOKUP(A50,'Change in Proportion Layers'!$A$8:$Y$324,12,FALSE)+VLOOKUP(A50,'Change in Proportion Layers'!$A$8:$Y$324,18,FALSE)</f>
        <v>-198192</v>
      </c>
      <c r="T50" s="64">
        <f>+N50+VLOOKUP(A50,'Change in Proportion Layers'!$A$8:$Y$324,6,FALSE)+VLOOKUP(A50,'Change in Proportion Layers'!$A$8:$Y$324,13,FALSE)</f>
        <v>-239999</v>
      </c>
      <c r="U50" s="64">
        <f>+O50+VLOOKUP(A50,'Change in Proportion Layers'!$A$8:$Y$324,7,FALSE)+1</f>
        <v>-124634</v>
      </c>
      <c r="W50" s="64">
        <f>('OPEB Amounts_Report'!H49-'OPEB Amounts_Report'!M49)</f>
        <v>-183391</v>
      </c>
      <c r="X50" s="129">
        <f>SUM(Q50:U50)-('OPEB Amounts_Report'!H50-'OPEB Amounts_Report'!M50)</f>
        <v>0</v>
      </c>
    </row>
    <row r="51" spans="1:24">
      <c r="A51" s="187">
        <v>2367</v>
      </c>
      <c r="B51" s="188" t="s">
        <v>40</v>
      </c>
      <c r="C51" s="5">
        <f t="shared" si="0"/>
        <v>-194719</v>
      </c>
      <c r="D51" s="5">
        <f t="shared" si="0"/>
        <v>-114855</v>
      </c>
      <c r="E51" s="5">
        <f t="shared" si="0"/>
        <v>-58892</v>
      </c>
      <c r="F51" s="5">
        <f t="shared" si="0"/>
        <v>-106894</v>
      </c>
      <c r="G51" s="5">
        <f t="shared" si="0"/>
        <v>-73057</v>
      </c>
      <c r="I51" s="186"/>
      <c r="K51" s="64">
        <f>ROUND(VLOOKUP($A51,'Contribution Allocation_Report'!$A$9:$D$311,4,FALSE)*$K$326,0)</f>
        <v>-251352</v>
      </c>
      <c r="L51" s="64">
        <f>ROUND(VLOOKUP($A51,'Contribution Allocation_Report'!$A$9:$D$311,4,FALSE)*$L$326,0)</f>
        <v>-182647</v>
      </c>
      <c r="M51" s="64">
        <f>ROUND(VLOOKUP($A51,'Contribution Allocation_Report'!$A$9:$D$311,4,FALSE)*$M$326,0)</f>
        <v>-110221</v>
      </c>
      <c r="N51" s="64">
        <f>ROUND(VLOOKUP($A51,'Contribution Allocation_Report'!$A$9:$D$311,4,FALSE)*$N$326,0)</f>
        <v>-166177</v>
      </c>
      <c r="O51" s="64">
        <f>ROUND(VLOOKUP($A51,'Contribution Allocation_Report'!$A$9:$D$311,4,FALSE)*$O$326,0)</f>
        <v>-94666</v>
      </c>
      <c r="Q51" s="64">
        <f>+K51+VLOOKUP(A51,'Change in Proportion Layers'!$A$8:$N$324,3,FALSE)+VLOOKUP(A51,'Change in Proportion Layers'!$A$8:$Y$324,10,FALSE)+VLOOKUP(A51,'Change in Proportion Layers'!$A$8:$Y$324,16,FALSE)+VLOOKUP(A51,'Change in Proportion Layers'!$A$8:$Y$324,21,FALSE)+VLOOKUP(A51,'Change in Proportion Layers'!$A$8:$Y$324,25,FALSE)</f>
        <v>-194719</v>
      </c>
      <c r="R51" s="64">
        <f>+L51+VLOOKUP(A51,'Change in Proportion Layers'!$A$8:$Y$324,4,FALSE)+VLOOKUP(A51,'Change in Proportion Layers'!$A$8:$Y$324,11,FALSE)+VLOOKUP(A51,'Change in Proportion Layers'!$A$8:$Y$324,17,FALSE)+VLOOKUP(A51,'Change in Proportion Layers'!$A$8:$Y$324,22,FALSE)</f>
        <v>-114855</v>
      </c>
      <c r="S51" s="64">
        <f>+M51+VLOOKUP(A51,'Change in Proportion Layers'!$A$8:$Y$324,5,FALSE)+VLOOKUP(A51,'Change in Proportion Layers'!$A$8:$Y$324,12,FALSE)+VLOOKUP(A51,'Change in Proportion Layers'!$A$8:$Y$324,18,FALSE)</f>
        <v>-58892</v>
      </c>
      <c r="T51" s="64">
        <f>+N51+VLOOKUP(A51,'Change in Proportion Layers'!$A$8:$Y$324,6,FALSE)+VLOOKUP(A51,'Change in Proportion Layers'!$A$8:$Y$324,13,FALSE)</f>
        <v>-106894</v>
      </c>
      <c r="U51" s="64">
        <f>+O51+VLOOKUP(A51,'Change in Proportion Layers'!$A$8:$Y$324,7,FALSE)</f>
        <v>-73057</v>
      </c>
      <c r="W51" s="64">
        <f>('OPEB Amounts_Report'!H50-'OPEB Amounts_Report'!M50)</f>
        <v>-1619688</v>
      </c>
      <c r="X51" s="129">
        <f>SUM(Q51:U51)-('OPEB Amounts_Report'!H51-'OPEB Amounts_Report'!M51)</f>
        <v>0</v>
      </c>
    </row>
    <row r="52" spans="1:24">
      <c r="A52" s="184">
        <v>9027</v>
      </c>
      <c r="B52" s="185" t="s">
        <v>41</v>
      </c>
      <c r="C52" s="63">
        <f t="shared" si="0"/>
        <v>-255070</v>
      </c>
      <c r="D52" s="63">
        <f t="shared" si="0"/>
        <v>-210328</v>
      </c>
      <c r="E52" s="63">
        <f t="shared" si="0"/>
        <v>-114085</v>
      </c>
      <c r="F52" s="63">
        <f t="shared" si="0"/>
        <v>-136047</v>
      </c>
      <c r="G52" s="63">
        <f t="shared" si="0"/>
        <v>-124715</v>
      </c>
      <c r="I52" s="186"/>
      <c r="K52" s="64">
        <f>ROUND(VLOOKUP($A52,'Contribution Allocation_Report'!$A$9:$D$311,4,FALSE)*$K$326,0)</f>
        <v>-351437</v>
      </c>
      <c r="L52" s="64">
        <f>ROUND(VLOOKUP($A52,'Contribution Allocation_Report'!$A$9:$D$311,4,FALSE)*$L$326,0)</f>
        <v>-255374</v>
      </c>
      <c r="M52" s="64">
        <f>ROUND(VLOOKUP($A52,'Contribution Allocation_Report'!$A$9:$D$311,4,FALSE)*$M$326,0)</f>
        <v>-154109</v>
      </c>
      <c r="N52" s="64">
        <f>ROUND(VLOOKUP($A52,'Contribution Allocation_Report'!$A$9:$D$311,4,FALSE)*$N$326,0)</f>
        <v>-232346</v>
      </c>
      <c r="O52" s="64">
        <f>ROUND(VLOOKUP($A52,'Contribution Allocation_Report'!$A$9:$D$311,4,FALSE)*$O$326,0)</f>
        <v>-132361</v>
      </c>
      <c r="Q52" s="64">
        <f>+K52+VLOOKUP(A52,'Change in Proportion Layers'!$A$8:$N$324,3,FALSE)+VLOOKUP(A52,'Change in Proportion Layers'!$A$8:$Y$324,10,FALSE)+VLOOKUP(A52,'Change in Proportion Layers'!$A$8:$Y$324,16,FALSE)+VLOOKUP(A52,'Change in Proportion Layers'!$A$8:$Y$324,21,FALSE)+VLOOKUP(A52,'Change in Proportion Layers'!$A$8:$Y$324,25,FALSE)</f>
        <v>-255070</v>
      </c>
      <c r="R52" s="64">
        <f>+L52+VLOOKUP(A52,'Change in Proportion Layers'!$A$8:$Y$324,4,FALSE)+VLOOKUP(A52,'Change in Proportion Layers'!$A$8:$Y$324,11,FALSE)+VLOOKUP(A52,'Change in Proportion Layers'!$A$8:$Y$324,17,FALSE)+VLOOKUP(A52,'Change in Proportion Layers'!$A$8:$Y$324,22,FALSE)</f>
        <v>-210328</v>
      </c>
      <c r="S52" s="64">
        <f>+M52+VLOOKUP(A52,'Change in Proportion Layers'!$A$8:$Y$324,5,FALSE)+VLOOKUP(A52,'Change in Proportion Layers'!$A$8:$Y$324,12,FALSE)+VLOOKUP(A52,'Change in Proportion Layers'!$A$8:$Y$324,18,FALSE)</f>
        <v>-114085</v>
      </c>
      <c r="T52" s="64">
        <f>+N52+VLOOKUP(A52,'Change in Proportion Layers'!$A$8:$Y$324,6,FALSE)+VLOOKUP(A52,'Change in Proportion Layers'!$A$8:$Y$324,13,FALSE)</f>
        <v>-136047</v>
      </c>
      <c r="U52" s="64">
        <f>+O52+VLOOKUP(A52,'Change in Proportion Layers'!$A$8:$Y$324,7,FALSE)-1</f>
        <v>-124715</v>
      </c>
      <c r="W52" s="64">
        <f>('OPEB Amounts_Report'!H51-'OPEB Amounts_Report'!M51)</f>
        <v>-548417</v>
      </c>
      <c r="X52" s="129">
        <f>SUM(Q52:U52)-('OPEB Amounts_Report'!H52-'OPEB Amounts_Report'!M52)</f>
        <v>0</v>
      </c>
    </row>
    <row r="53" spans="1:24">
      <c r="A53" s="187">
        <v>2010</v>
      </c>
      <c r="B53" s="188" t="s">
        <v>42</v>
      </c>
      <c r="C53" s="5">
        <f t="shared" si="0"/>
        <v>-1373851</v>
      </c>
      <c r="D53" s="5">
        <f t="shared" si="0"/>
        <v>-1087622</v>
      </c>
      <c r="E53" s="5">
        <f t="shared" si="0"/>
        <v>-668799</v>
      </c>
      <c r="F53" s="5">
        <f t="shared" si="0"/>
        <v>-750751</v>
      </c>
      <c r="G53" s="5">
        <f t="shared" si="0"/>
        <v>-445781</v>
      </c>
      <c r="I53" s="186"/>
      <c r="K53" s="64">
        <f>ROUND(VLOOKUP($A53,'Contribution Allocation_Report'!$A$9:$D$311,4,FALSE)*$K$326,0)</f>
        <v>-1270901</v>
      </c>
      <c r="L53" s="64">
        <f>ROUND(VLOOKUP($A53,'Contribution Allocation_Report'!$A$9:$D$311,4,FALSE)*$L$326,0)</f>
        <v>-923508</v>
      </c>
      <c r="M53" s="64">
        <f>ROUND(VLOOKUP($A53,'Contribution Allocation_Report'!$A$9:$D$311,4,FALSE)*$M$326,0)</f>
        <v>-557305</v>
      </c>
      <c r="N53" s="64">
        <f>ROUND(VLOOKUP($A53,'Contribution Allocation_Report'!$A$9:$D$311,4,FALSE)*$N$326,0)</f>
        <v>-840232</v>
      </c>
      <c r="O53" s="64">
        <f>ROUND(VLOOKUP($A53,'Contribution Allocation_Report'!$A$9:$D$311,4,FALSE)*$O$326,0)</f>
        <v>-478655</v>
      </c>
      <c r="Q53" s="64">
        <f>+K53+VLOOKUP(A53,'Change in Proportion Layers'!$A$8:$N$324,3,FALSE)+VLOOKUP(A53,'Change in Proportion Layers'!$A$8:$Y$324,10,FALSE)+VLOOKUP(A53,'Change in Proportion Layers'!$A$8:$Y$324,16,FALSE)+VLOOKUP(A53,'Change in Proportion Layers'!$A$8:$Y$324,21,FALSE)+VLOOKUP(A53,'Change in Proportion Layers'!$A$8:$Y$324,25,FALSE)</f>
        <v>-1373851</v>
      </c>
      <c r="R53" s="64">
        <f>+L53+VLOOKUP(A53,'Change in Proportion Layers'!$A$8:$Y$324,4,FALSE)+VLOOKUP(A53,'Change in Proportion Layers'!$A$8:$Y$324,11,FALSE)+VLOOKUP(A53,'Change in Proportion Layers'!$A$8:$Y$324,17,FALSE)+VLOOKUP(A53,'Change in Proportion Layers'!$A$8:$Y$324,22,FALSE)</f>
        <v>-1087622</v>
      </c>
      <c r="S53" s="64">
        <f>+M53+VLOOKUP(A53,'Change in Proportion Layers'!$A$8:$Y$324,5,FALSE)+VLOOKUP(A53,'Change in Proportion Layers'!$A$8:$Y$324,12,FALSE)+VLOOKUP(A53,'Change in Proportion Layers'!$A$8:$Y$324,18,FALSE)</f>
        <v>-668799</v>
      </c>
      <c r="T53" s="64">
        <f>+N53+VLOOKUP(A53,'Change in Proportion Layers'!$A$8:$Y$324,6,FALSE)+VLOOKUP(A53,'Change in Proportion Layers'!$A$8:$Y$324,13,FALSE)</f>
        <v>-750751</v>
      </c>
      <c r="U53" s="64">
        <f>+O53+VLOOKUP(A53,'Change in Proportion Layers'!$A$8:$Y$324,7,FALSE)</f>
        <v>-445781</v>
      </c>
      <c r="W53" s="64">
        <f>('OPEB Amounts_Report'!H52-'OPEB Amounts_Report'!M52)</f>
        <v>-840245</v>
      </c>
      <c r="X53" s="129">
        <f>SUM(Q53:U53)-('OPEB Amounts_Report'!H53-'OPEB Amounts_Report'!M53)</f>
        <v>0</v>
      </c>
    </row>
    <row r="54" spans="1:24">
      <c r="A54" s="184">
        <v>2020</v>
      </c>
      <c r="B54" s="185" t="s">
        <v>43</v>
      </c>
      <c r="C54" s="63">
        <f t="shared" si="0"/>
        <v>-34147936</v>
      </c>
      <c r="D54" s="63">
        <f t="shared" si="0"/>
        <v>-24783531</v>
      </c>
      <c r="E54" s="63">
        <f t="shared" si="0"/>
        <v>-15642144</v>
      </c>
      <c r="F54" s="63">
        <f t="shared" si="0"/>
        <v>-21346578</v>
      </c>
      <c r="G54" s="63">
        <f t="shared" si="0"/>
        <v>-12679272</v>
      </c>
      <c r="I54" s="186"/>
      <c r="K54" s="64">
        <f>ROUND(VLOOKUP($A54,'Contribution Allocation_Report'!$A$9:$D$311,4,FALSE)*$K$326,0)</f>
        <v>-31769244</v>
      </c>
      <c r="L54" s="64">
        <f>ROUND(VLOOKUP($A54,'Contribution Allocation_Report'!$A$9:$D$311,4,FALSE)*$L$326,0)</f>
        <v>-23085321</v>
      </c>
      <c r="M54" s="64">
        <f>ROUND(VLOOKUP($A54,'Contribution Allocation_Report'!$A$9:$D$311,4,FALSE)*$M$326,0)</f>
        <v>-13931189</v>
      </c>
      <c r="N54" s="64">
        <f>ROUND(VLOOKUP($A54,'Contribution Allocation_Report'!$A$9:$D$311,4,FALSE)*$N$326,0)</f>
        <v>-21003641</v>
      </c>
      <c r="O54" s="64">
        <f>ROUND(VLOOKUP($A54,'Contribution Allocation_Report'!$A$9:$D$311,4,FALSE)*$O$326,0)</f>
        <v>-11965131</v>
      </c>
      <c r="Q54" s="64">
        <f>+K54+VLOOKUP(A54,'Change in Proportion Layers'!$A$8:$N$324,3,FALSE)+VLOOKUP(A54,'Change in Proportion Layers'!$A$8:$Y$324,10,FALSE)+VLOOKUP(A54,'Change in Proportion Layers'!$A$8:$Y$324,16,FALSE)+VLOOKUP(A54,'Change in Proportion Layers'!$A$8:$Y$324,21,FALSE)+VLOOKUP(A54,'Change in Proportion Layers'!$A$8:$Y$324,25,FALSE)</f>
        <v>-34147936</v>
      </c>
      <c r="R54" s="64">
        <f>+L54+VLOOKUP(A54,'Change in Proportion Layers'!$A$8:$Y$324,4,FALSE)+VLOOKUP(A54,'Change in Proportion Layers'!$A$8:$Y$324,11,FALSE)+VLOOKUP(A54,'Change in Proportion Layers'!$A$8:$Y$324,17,FALSE)+VLOOKUP(A54,'Change in Proportion Layers'!$A$8:$Y$324,22,FALSE)</f>
        <v>-24783531</v>
      </c>
      <c r="S54" s="64">
        <f>+M54+VLOOKUP(A54,'Change in Proportion Layers'!$A$8:$Y$324,5,FALSE)+VLOOKUP(A54,'Change in Proportion Layers'!$A$8:$Y$324,12,FALSE)+VLOOKUP(A54,'Change in Proportion Layers'!$A$8:$Y$324,18,FALSE)</f>
        <v>-15642144</v>
      </c>
      <c r="T54" s="64">
        <f>+N54+VLOOKUP(A54,'Change in Proportion Layers'!$A$8:$Y$324,6,FALSE)+VLOOKUP(A54,'Change in Proportion Layers'!$A$8:$Y$324,13,FALSE)</f>
        <v>-21346578</v>
      </c>
      <c r="U54" s="64">
        <f>+O54+VLOOKUP(A54,'Change in Proportion Layers'!$A$8:$Y$324,7,FALSE)</f>
        <v>-12679272</v>
      </c>
      <c r="W54" s="64">
        <f>('OPEB Amounts_Report'!H53-'OPEB Amounts_Report'!M53)</f>
        <v>-4326804</v>
      </c>
      <c r="X54" s="129">
        <f>SUM(Q54:U54)-('OPEB Amounts_Report'!H54-'OPEB Amounts_Report'!M54)</f>
        <v>0</v>
      </c>
    </row>
    <row r="55" spans="1:24">
      <c r="A55" s="187">
        <v>2040</v>
      </c>
      <c r="B55" s="188" t="s">
        <v>44</v>
      </c>
      <c r="C55" s="5">
        <f t="shared" si="0"/>
        <v>-448575</v>
      </c>
      <c r="D55" s="5">
        <f t="shared" si="0"/>
        <v>-322793</v>
      </c>
      <c r="E55" s="5">
        <f t="shared" si="0"/>
        <v>-207925</v>
      </c>
      <c r="F55" s="5">
        <f t="shared" si="0"/>
        <v>-254892</v>
      </c>
      <c r="G55" s="5">
        <f t="shared" si="0"/>
        <v>-128668</v>
      </c>
      <c r="I55" s="186"/>
      <c r="K55" s="64">
        <f>ROUND(VLOOKUP($A55,'Contribution Allocation_Report'!$A$9:$D$311,4,FALSE)*$K$326,0)</f>
        <v>-437948</v>
      </c>
      <c r="L55" s="64">
        <f>ROUND(VLOOKUP($A55,'Contribution Allocation_Report'!$A$9:$D$311,4,FALSE)*$L$326,0)</f>
        <v>-318238</v>
      </c>
      <c r="M55" s="64">
        <f>ROUND(VLOOKUP($A55,'Contribution Allocation_Report'!$A$9:$D$311,4,FALSE)*$M$326,0)</f>
        <v>-192045</v>
      </c>
      <c r="N55" s="64">
        <f>ROUND(VLOOKUP($A55,'Contribution Allocation_Report'!$A$9:$D$311,4,FALSE)*$N$326,0)</f>
        <v>-289541</v>
      </c>
      <c r="O55" s="64">
        <f>ROUND(VLOOKUP($A55,'Contribution Allocation_Report'!$A$9:$D$311,4,FALSE)*$O$326,0)</f>
        <v>-164943</v>
      </c>
      <c r="Q55" s="64">
        <f>+K55+VLOOKUP(A55,'Change in Proportion Layers'!$A$8:$N$324,3,FALSE)+VLOOKUP(A55,'Change in Proportion Layers'!$A$8:$Y$324,10,FALSE)+VLOOKUP(A55,'Change in Proportion Layers'!$A$8:$Y$324,16,FALSE)+VLOOKUP(A55,'Change in Proportion Layers'!$A$8:$Y$324,21,FALSE)+VLOOKUP(A55,'Change in Proportion Layers'!$A$8:$Y$324,25,FALSE)</f>
        <v>-448575</v>
      </c>
      <c r="R55" s="64">
        <f>+L55+VLOOKUP(A55,'Change in Proportion Layers'!$A$8:$Y$324,4,FALSE)+VLOOKUP(A55,'Change in Proportion Layers'!$A$8:$Y$324,11,FALSE)+VLOOKUP(A55,'Change in Proportion Layers'!$A$8:$Y$324,17,FALSE)+VLOOKUP(A55,'Change in Proportion Layers'!$A$8:$Y$324,22,FALSE)</f>
        <v>-322793</v>
      </c>
      <c r="S55" s="64">
        <f>+M55+VLOOKUP(A55,'Change in Proportion Layers'!$A$8:$Y$324,5,FALSE)+VLOOKUP(A55,'Change in Proportion Layers'!$A$8:$Y$324,12,FALSE)+VLOOKUP(A55,'Change in Proportion Layers'!$A$8:$Y$324,18,FALSE)</f>
        <v>-207925</v>
      </c>
      <c r="T55" s="64">
        <f>+N55+VLOOKUP(A55,'Change in Proportion Layers'!$A$8:$Y$324,6,FALSE)+VLOOKUP(A55,'Change in Proportion Layers'!$A$8:$Y$324,13,FALSE)</f>
        <v>-254892</v>
      </c>
      <c r="U55" s="64">
        <f>+O55+VLOOKUP(A55,'Change in Proportion Layers'!$A$8:$Y$324,7,FALSE)</f>
        <v>-128668</v>
      </c>
      <c r="W55" s="64">
        <f>('OPEB Amounts_Report'!H54-'OPEB Amounts_Report'!M54)</f>
        <v>-108599461</v>
      </c>
      <c r="X55" s="129">
        <f>SUM(Q55:U55)-('OPEB Amounts_Report'!H55-'OPEB Amounts_Report'!M55)</f>
        <v>0</v>
      </c>
    </row>
    <row r="56" spans="1:24">
      <c r="A56" s="184">
        <v>2060</v>
      </c>
      <c r="B56" s="185" t="s">
        <v>45</v>
      </c>
      <c r="C56" s="63">
        <f t="shared" si="0"/>
        <v>-347609</v>
      </c>
      <c r="D56" s="63">
        <f t="shared" si="0"/>
        <v>-213154</v>
      </c>
      <c r="E56" s="63">
        <f t="shared" si="0"/>
        <v>-80201</v>
      </c>
      <c r="F56" s="63">
        <f t="shared" si="0"/>
        <v>-120512</v>
      </c>
      <c r="G56" s="63">
        <f t="shared" si="0"/>
        <v>-131566</v>
      </c>
      <c r="I56" s="186"/>
      <c r="K56" s="64">
        <f>ROUND(VLOOKUP($A56,'Contribution Allocation_Report'!$A$9:$D$311,4,FALSE)*$K$326,0)</f>
        <v>-469583</v>
      </c>
      <c r="L56" s="64">
        <f>ROUND(VLOOKUP($A56,'Contribution Allocation_Report'!$A$9:$D$311,4,FALSE)*$L$326,0)</f>
        <v>-341226</v>
      </c>
      <c r="M56" s="64">
        <f>ROUND(VLOOKUP($A56,'Contribution Allocation_Report'!$A$9:$D$311,4,FALSE)*$M$326,0)</f>
        <v>-205918</v>
      </c>
      <c r="N56" s="64">
        <f>ROUND(VLOOKUP($A56,'Contribution Allocation_Report'!$A$9:$D$311,4,FALSE)*$N$326,0)</f>
        <v>-310456</v>
      </c>
      <c r="O56" s="64">
        <f>ROUND(VLOOKUP($A56,'Contribution Allocation_Report'!$A$9:$D$311,4,FALSE)*$O$326,0)</f>
        <v>-176857</v>
      </c>
      <c r="Q56" s="64">
        <f>+K56+VLOOKUP(A56,'Change in Proportion Layers'!$A$8:$N$324,3,FALSE)+VLOOKUP(A56,'Change in Proportion Layers'!$A$8:$Y$324,10,FALSE)+VLOOKUP(A56,'Change in Proportion Layers'!$A$8:$Y$324,16,FALSE)+VLOOKUP(A56,'Change in Proportion Layers'!$A$8:$Y$324,21,FALSE)+VLOOKUP(A56,'Change in Proportion Layers'!$A$8:$Y$324,25,FALSE)</f>
        <v>-347609</v>
      </c>
      <c r="R56" s="64">
        <f>+L56+VLOOKUP(A56,'Change in Proportion Layers'!$A$8:$Y$324,4,FALSE)+VLOOKUP(A56,'Change in Proportion Layers'!$A$8:$Y$324,11,FALSE)+VLOOKUP(A56,'Change in Proportion Layers'!$A$8:$Y$324,17,FALSE)+VLOOKUP(A56,'Change in Proportion Layers'!$A$8:$Y$324,22,FALSE)</f>
        <v>-213154</v>
      </c>
      <c r="S56" s="64">
        <f>+M56+VLOOKUP(A56,'Change in Proportion Layers'!$A$8:$Y$324,5,FALSE)+VLOOKUP(A56,'Change in Proportion Layers'!$A$8:$Y$324,12,FALSE)+VLOOKUP(A56,'Change in Proportion Layers'!$A$8:$Y$324,18,FALSE)</f>
        <v>-80201</v>
      </c>
      <c r="T56" s="64">
        <f>+N56+VLOOKUP(A56,'Change in Proportion Layers'!$A$8:$Y$324,6,FALSE)+VLOOKUP(A56,'Change in Proportion Layers'!$A$8:$Y$324,13,FALSE)</f>
        <v>-120512</v>
      </c>
      <c r="U56" s="64">
        <f>+O56+VLOOKUP(A56,'Change in Proportion Layers'!$A$8:$Y$324,7,FALSE)</f>
        <v>-131566</v>
      </c>
      <c r="W56" s="64">
        <f>('OPEB Amounts_Report'!H55-'OPEB Amounts_Report'!M55)</f>
        <v>-1362853</v>
      </c>
      <c r="X56" s="129">
        <f>SUM(Q56:U56)-('OPEB Amounts_Report'!H56-'OPEB Amounts_Report'!M56)</f>
        <v>0</v>
      </c>
    </row>
    <row r="57" spans="1:24">
      <c r="A57" s="187">
        <v>2090</v>
      </c>
      <c r="B57" s="188" t="s">
        <v>46</v>
      </c>
      <c r="C57" s="5">
        <f t="shared" si="0"/>
        <v>-644680</v>
      </c>
      <c r="D57" s="5">
        <f t="shared" si="0"/>
        <v>-339944</v>
      </c>
      <c r="E57" s="5">
        <f t="shared" si="0"/>
        <v>-181771</v>
      </c>
      <c r="F57" s="5">
        <f t="shared" si="0"/>
        <v>-250555</v>
      </c>
      <c r="G57" s="5">
        <f t="shared" si="0"/>
        <v>-114545</v>
      </c>
      <c r="I57" s="186"/>
      <c r="K57" s="64">
        <f>ROUND(VLOOKUP($A57,'Contribution Allocation_Report'!$A$9:$D$311,4,FALSE)*$K$326,0)</f>
        <v>-350309</v>
      </c>
      <c r="L57" s="64">
        <f>ROUND(VLOOKUP($A57,'Contribution Allocation_Report'!$A$9:$D$311,4,FALSE)*$L$326,0)</f>
        <v>-254554</v>
      </c>
      <c r="M57" s="64">
        <f>ROUND(VLOOKUP($A57,'Contribution Allocation_Report'!$A$9:$D$311,4,FALSE)*$M$326,0)</f>
        <v>-153615</v>
      </c>
      <c r="N57" s="64">
        <f>ROUND(VLOOKUP($A57,'Contribution Allocation_Report'!$A$9:$D$311,4,FALSE)*$N$326,0)</f>
        <v>-231600</v>
      </c>
      <c r="O57" s="64">
        <f>ROUND(VLOOKUP($A57,'Contribution Allocation_Report'!$A$9:$D$311,4,FALSE)*$O$326,0)</f>
        <v>-131936</v>
      </c>
      <c r="Q57" s="64">
        <f>+K57+VLOOKUP(A57,'Change in Proportion Layers'!$A$8:$N$324,3,FALSE)+VLOOKUP(A57,'Change in Proportion Layers'!$A$8:$Y$324,10,FALSE)+VLOOKUP(A57,'Change in Proportion Layers'!$A$8:$Y$324,16,FALSE)+VLOOKUP(A57,'Change in Proportion Layers'!$A$8:$Y$324,21,FALSE)+VLOOKUP(A57,'Change in Proportion Layers'!$A$8:$Y$324,25,FALSE)</f>
        <v>-644680</v>
      </c>
      <c r="R57" s="64">
        <f>+L57+VLOOKUP(A57,'Change in Proportion Layers'!$A$8:$Y$324,4,FALSE)+VLOOKUP(A57,'Change in Proportion Layers'!$A$8:$Y$324,11,FALSE)+VLOOKUP(A57,'Change in Proportion Layers'!$A$8:$Y$324,17,FALSE)+VLOOKUP(A57,'Change in Proportion Layers'!$A$8:$Y$324,22,FALSE)</f>
        <v>-339944</v>
      </c>
      <c r="S57" s="64">
        <f>+M57+VLOOKUP(A57,'Change in Proportion Layers'!$A$8:$Y$324,5,FALSE)+VLOOKUP(A57,'Change in Proportion Layers'!$A$8:$Y$324,12,FALSE)+VLOOKUP(A57,'Change in Proportion Layers'!$A$8:$Y$324,18,FALSE)</f>
        <v>-181771</v>
      </c>
      <c r="T57" s="64">
        <f>+N57+VLOOKUP(A57,'Change in Proportion Layers'!$A$8:$Y$324,6,FALSE)+VLOOKUP(A57,'Change in Proportion Layers'!$A$8:$Y$324,13,FALSE)</f>
        <v>-250555</v>
      </c>
      <c r="U57" s="64">
        <f>+O57+VLOOKUP(A57,'Change in Proportion Layers'!$A$8:$Y$324,7,FALSE)</f>
        <v>-114545</v>
      </c>
      <c r="W57" s="64">
        <f>('OPEB Amounts_Report'!H56-'OPEB Amounts_Report'!M56)</f>
        <v>-893042</v>
      </c>
      <c r="X57" s="129">
        <f>SUM(Q57:U57)-('OPEB Amounts_Report'!H57-'OPEB Amounts_Report'!M57)</f>
        <v>0</v>
      </c>
    </row>
    <row r="58" spans="1:24">
      <c r="A58" s="184">
        <v>2110</v>
      </c>
      <c r="B58" s="185" t="s">
        <v>47</v>
      </c>
      <c r="C58" s="63">
        <f t="shared" si="0"/>
        <v>-2959450</v>
      </c>
      <c r="D58" s="63">
        <f t="shared" si="0"/>
        <v>-2291686</v>
      </c>
      <c r="E58" s="63">
        <f t="shared" si="0"/>
        <v>-1559786</v>
      </c>
      <c r="F58" s="63">
        <f t="shared" si="0"/>
        <v>-2063879</v>
      </c>
      <c r="G58" s="63">
        <f t="shared" si="0"/>
        <v>-1162851</v>
      </c>
      <c r="I58" s="186"/>
      <c r="K58" s="64">
        <f>ROUND(VLOOKUP($A58,'Contribution Allocation_Report'!$A$9:$D$311,4,FALSE)*$K$326,0)</f>
        <v>-2805953</v>
      </c>
      <c r="L58" s="64">
        <f>ROUND(VLOOKUP($A58,'Contribution Allocation_Report'!$A$9:$D$311,4,FALSE)*$L$326,0)</f>
        <v>-2038964</v>
      </c>
      <c r="M58" s="64">
        <f>ROUND(VLOOKUP($A58,'Contribution Allocation_Report'!$A$9:$D$311,4,FALSE)*$M$326,0)</f>
        <v>-1230444</v>
      </c>
      <c r="N58" s="64">
        <f>ROUND(VLOOKUP($A58,'Contribution Allocation_Report'!$A$9:$D$311,4,FALSE)*$N$326,0)</f>
        <v>-1855104</v>
      </c>
      <c r="O58" s="64">
        <f>ROUND(VLOOKUP($A58,'Contribution Allocation_Report'!$A$9:$D$311,4,FALSE)*$O$326,0)</f>
        <v>-1056796</v>
      </c>
      <c r="Q58" s="64">
        <f>+K58+VLOOKUP(A58,'Change in Proportion Layers'!$A$8:$N$324,3,FALSE)+VLOOKUP(A58,'Change in Proportion Layers'!$A$8:$Y$324,10,FALSE)+VLOOKUP(A58,'Change in Proportion Layers'!$A$8:$Y$324,16,FALSE)+VLOOKUP(A58,'Change in Proportion Layers'!$A$8:$Y$324,21,FALSE)+VLOOKUP(A58,'Change in Proportion Layers'!$A$8:$Y$324,25,FALSE)</f>
        <v>-2959450</v>
      </c>
      <c r="R58" s="64">
        <f>+L58+VLOOKUP(A58,'Change in Proportion Layers'!$A$8:$Y$324,4,FALSE)+VLOOKUP(A58,'Change in Proportion Layers'!$A$8:$Y$324,11,FALSE)+VLOOKUP(A58,'Change in Proportion Layers'!$A$8:$Y$324,17,FALSE)+VLOOKUP(A58,'Change in Proportion Layers'!$A$8:$Y$324,22,FALSE)</f>
        <v>-2291686</v>
      </c>
      <c r="S58" s="64">
        <f>+M58+VLOOKUP(A58,'Change in Proportion Layers'!$A$8:$Y$324,5,FALSE)+VLOOKUP(A58,'Change in Proportion Layers'!$A$8:$Y$324,12,FALSE)+VLOOKUP(A58,'Change in Proportion Layers'!$A$8:$Y$324,18,FALSE)</f>
        <v>-1559786</v>
      </c>
      <c r="T58" s="64">
        <f>+N58+VLOOKUP(A58,'Change in Proportion Layers'!$A$8:$Y$324,6,FALSE)+VLOOKUP(A58,'Change in Proportion Layers'!$A$8:$Y$324,13,FALSE)</f>
        <v>-2063879</v>
      </c>
      <c r="U58" s="64">
        <f>+O58+VLOOKUP(A58,'Change in Proportion Layers'!$A$8:$Y$324,7,FALSE)+1</f>
        <v>-1162851</v>
      </c>
      <c r="W58" s="64">
        <f>('OPEB Amounts_Report'!H57-'OPEB Amounts_Report'!M57)</f>
        <v>-1531495</v>
      </c>
      <c r="X58" s="129">
        <f>SUM(Q58:U58)-('OPEB Amounts_Report'!H58-'OPEB Amounts_Report'!M58)</f>
        <v>0</v>
      </c>
    </row>
    <row r="59" spans="1:24">
      <c r="A59" s="187">
        <v>2180</v>
      </c>
      <c r="B59" s="188" t="s">
        <v>48</v>
      </c>
      <c r="C59" s="5">
        <f t="shared" si="0"/>
        <v>-1509177</v>
      </c>
      <c r="D59" s="5">
        <f t="shared" si="0"/>
        <v>-1172370</v>
      </c>
      <c r="E59" s="5">
        <f t="shared" si="0"/>
        <v>-738225</v>
      </c>
      <c r="F59" s="5">
        <f t="shared" si="0"/>
        <v>-855706</v>
      </c>
      <c r="G59" s="5">
        <f t="shared" si="0"/>
        <v>-505825</v>
      </c>
      <c r="I59" s="186"/>
      <c r="K59" s="64">
        <f>ROUND(VLOOKUP($A59,'Contribution Allocation_Report'!$A$9:$D$311,4,FALSE)*$K$326,0)</f>
        <v>-1338708</v>
      </c>
      <c r="L59" s="64">
        <f>ROUND(VLOOKUP($A59,'Contribution Allocation_Report'!$A$9:$D$311,4,FALSE)*$L$326,0)</f>
        <v>-972781</v>
      </c>
      <c r="M59" s="64">
        <f>ROUND(VLOOKUP($A59,'Contribution Allocation_Report'!$A$9:$D$311,4,FALSE)*$M$326,0)</f>
        <v>-587039</v>
      </c>
      <c r="N59" s="64">
        <f>ROUND(VLOOKUP($A59,'Contribution Allocation_Report'!$A$9:$D$311,4,FALSE)*$N$326,0)</f>
        <v>-885062</v>
      </c>
      <c r="O59" s="64">
        <f>ROUND(VLOOKUP($A59,'Contribution Allocation_Report'!$A$9:$D$311,4,FALSE)*$O$326,0)</f>
        <v>-504193</v>
      </c>
      <c r="Q59" s="64">
        <f>+K59+VLOOKUP(A59,'Change in Proportion Layers'!$A$8:$N$324,3,FALSE)+VLOOKUP(A59,'Change in Proportion Layers'!$A$8:$Y$324,10,FALSE)+VLOOKUP(A59,'Change in Proportion Layers'!$A$8:$Y$324,16,FALSE)+VLOOKUP(A59,'Change in Proportion Layers'!$A$8:$Y$324,21,FALSE)+VLOOKUP(A59,'Change in Proportion Layers'!$A$8:$Y$324,25,FALSE)</f>
        <v>-1509177</v>
      </c>
      <c r="R59" s="64">
        <f>+L59+VLOOKUP(A59,'Change in Proportion Layers'!$A$8:$Y$324,4,FALSE)+VLOOKUP(A59,'Change in Proportion Layers'!$A$8:$Y$324,11,FALSE)+VLOOKUP(A59,'Change in Proportion Layers'!$A$8:$Y$324,17,FALSE)+VLOOKUP(A59,'Change in Proportion Layers'!$A$8:$Y$324,22,FALSE)</f>
        <v>-1172370</v>
      </c>
      <c r="S59" s="64">
        <f>+M59+VLOOKUP(A59,'Change in Proportion Layers'!$A$8:$Y$324,5,FALSE)+VLOOKUP(A59,'Change in Proportion Layers'!$A$8:$Y$324,12,FALSE)+VLOOKUP(A59,'Change in Proportion Layers'!$A$8:$Y$324,18,FALSE)</f>
        <v>-738225</v>
      </c>
      <c r="T59" s="64">
        <f>+N59+VLOOKUP(A59,'Change in Proportion Layers'!$A$8:$Y$324,6,FALSE)+VLOOKUP(A59,'Change in Proportion Layers'!$A$8:$Y$324,13,FALSE)</f>
        <v>-855706</v>
      </c>
      <c r="U59" s="64">
        <f>+O59+VLOOKUP(A59,'Change in Proportion Layers'!$A$8:$Y$324,7,FALSE)</f>
        <v>-505825</v>
      </c>
      <c r="W59" s="64">
        <f>('OPEB Amounts_Report'!H58-'OPEB Amounts_Report'!M58)</f>
        <v>-10037652</v>
      </c>
      <c r="X59" s="129">
        <f>SUM(Q59:U59)-('OPEB Amounts_Report'!H59-'OPEB Amounts_Report'!M59)</f>
        <v>0</v>
      </c>
    </row>
    <row r="60" spans="1:24">
      <c r="A60" s="184">
        <v>2210</v>
      </c>
      <c r="B60" s="185" t="s">
        <v>49</v>
      </c>
      <c r="C60" s="63">
        <f t="shared" si="0"/>
        <v>-805926</v>
      </c>
      <c r="D60" s="63">
        <f t="shared" si="0"/>
        <v>-598948</v>
      </c>
      <c r="E60" s="63">
        <f t="shared" si="0"/>
        <v>-400796</v>
      </c>
      <c r="F60" s="63">
        <f t="shared" si="0"/>
        <v>-456284</v>
      </c>
      <c r="G60" s="63">
        <f t="shared" si="0"/>
        <v>-288278</v>
      </c>
      <c r="I60" s="186"/>
      <c r="K60" s="64">
        <f>ROUND(VLOOKUP($A60,'Contribution Allocation_Report'!$A$9:$D$311,4,FALSE)*$K$326,0)</f>
        <v>-591340</v>
      </c>
      <c r="L60" s="64">
        <f>ROUND(VLOOKUP($A60,'Contribution Allocation_Report'!$A$9:$D$311,4,FALSE)*$L$326,0)</f>
        <v>-429701</v>
      </c>
      <c r="M60" s="64">
        <f>ROUND(VLOOKUP($A60,'Contribution Allocation_Report'!$A$9:$D$311,4,FALSE)*$M$326,0)</f>
        <v>-259309</v>
      </c>
      <c r="N60" s="64">
        <f>ROUND(VLOOKUP($A60,'Contribution Allocation_Report'!$A$9:$D$311,4,FALSE)*$N$326,0)</f>
        <v>-390953</v>
      </c>
      <c r="O60" s="64">
        <f>ROUND(VLOOKUP($A60,'Contribution Allocation_Report'!$A$9:$D$311,4,FALSE)*$O$326,0)</f>
        <v>-222714</v>
      </c>
      <c r="Q60" s="64">
        <f>+K60+VLOOKUP(A60,'Change in Proportion Layers'!$A$8:$N$324,3,FALSE)+VLOOKUP(A60,'Change in Proportion Layers'!$A$8:$Y$324,10,FALSE)+VLOOKUP(A60,'Change in Proportion Layers'!$A$8:$Y$324,16,FALSE)+VLOOKUP(A60,'Change in Proportion Layers'!$A$8:$Y$324,21,FALSE)+VLOOKUP(A60,'Change in Proportion Layers'!$A$8:$Y$324,25,FALSE)</f>
        <v>-805926</v>
      </c>
      <c r="R60" s="64">
        <f>+L60+VLOOKUP(A60,'Change in Proportion Layers'!$A$8:$Y$324,4,FALSE)+VLOOKUP(A60,'Change in Proportion Layers'!$A$8:$Y$324,11,FALSE)+VLOOKUP(A60,'Change in Proportion Layers'!$A$8:$Y$324,17,FALSE)+VLOOKUP(A60,'Change in Proportion Layers'!$A$8:$Y$324,22,FALSE)</f>
        <v>-598948</v>
      </c>
      <c r="S60" s="64">
        <f>+M60+VLOOKUP(A60,'Change in Proportion Layers'!$A$8:$Y$324,5,FALSE)+VLOOKUP(A60,'Change in Proportion Layers'!$A$8:$Y$324,12,FALSE)+VLOOKUP(A60,'Change in Proportion Layers'!$A$8:$Y$324,18,FALSE)</f>
        <v>-400796</v>
      </c>
      <c r="T60" s="64">
        <f>+N60+VLOOKUP(A60,'Change in Proportion Layers'!$A$8:$Y$324,6,FALSE)+VLOOKUP(A60,'Change in Proportion Layers'!$A$8:$Y$324,13,FALSE)</f>
        <v>-456284</v>
      </c>
      <c r="U60" s="64">
        <f>+O60+VLOOKUP(A60,'Change in Proportion Layers'!$A$8:$Y$324,7,FALSE)-1</f>
        <v>-288278</v>
      </c>
      <c r="W60" s="64">
        <f>('OPEB Amounts_Report'!H59-'OPEB Amounts_Report'!M59)</f>
        <v>-4781303</v>
      </c>
      <c r="X60" s="129">
        <f>SUM(Q60:U60)-('OPEB Amounts_Report'!H60-'OPEB Amounts_Report'!M60)</f>
        <v>0</v>
      </c>
    </row>
    <row r="61" spans="1:24">
      <c r="A61" s="187">
        <v>2290</v>
      </c>
      <c r="B61" s="188" t="s">
        <v>50</v>
      </c>
      <c r="C61" s="5">
        <f t="shared" si="0"/>
        <v>-645570</v>
      </c>
      <c r="D61" s="5">
        <f t="shared" si="0"/>
        <v>-487561</v>
      </c>
      <c r="E61" s="5">
        <f t="shared" si="0"/>
        <v>-264789</v>
      </c>
      <c r="F61" s="5">
        <f t="shared" si="0"/>
        <v>-393291</v>
      </c>
      <c r="G61" s="5">
        <f t="shared" si="0"/>
        <v>-247651</v>
      </c>
      <c r="I61" s="186"/>
      <c r="K61" s="64">
        <f>ROUND(VLOOKUP($A61,'Contribution Allocation_Report'!$A$9:$D$311,4,FALSE)*$K$326,0)</f>
        <v>-615172</v>
      </c>
      <c r="L61" s="64">
        <f>ROUND(VLOOKUP($A61,'Contribution Allocation_Report'!$A$9:$D$311,4,FALSE)*$L$326,0)</f>
        <v>-447018</v>
      </c>
      <c r="M61" s="64">
        <f>ROUND(VLOOKUP($A61,'Contribution Allocation_Report'!$A$9:$D$311,4,FALSE)*$M$326,0)</f>
        <v>-269760</v>
      </c>
      <c r="N61" s="64">
        <f>ROUND(VLOOKUP($A61,'Contribution Allocation_Report'!$A$9:$D$311,4,FALSE)*$N$326,0)</f>
        <v>-406709</v>
      </c>
      <c r="O61" s="64">
        <f>ROUND(VLOOKUP($A61,'Contribution Allocation_Report'!$A$9:$D$311,4,FALSE)*$O$326,0)</f>
        <v>-231690</v>
      </c>
      <c r="Q61" s="64">
        <f>+K61+VLOOKUP(A61,'Change in Proportion Layers'!$A$8:$N$324,3,FALSE)+VLOOKUP(A61,'Change in Proportion Layers'!$A$8:$Y$324,10,FALSE)+VLOOKUP(A61,'Change in Proportion Layers'!$A$8:$Y$324,16,FALSE)+VLOOKUP(A61,'Change in Proportion Layers'!$A$8:$Y$324,21,FALSE)+VLOOKUP(A61,'Change in Proportion Layers'!$A$8:$Y$324,25,FALSE)</f>
        <v>-645570</v>
      </c>
      <c r="R61" s="64">
        <f>+L61+VLOOKUP(A61,'Change in Proportion Layers'!$A$8:$Y$324,4,FALSE)+VLOOKUP(A61,'Change in Proportion Layers'!$A$8:$Y$324,11,FALSE)+VLOOKUP(A61,'Change in Proportion Layers'!$A$8:$Y$324,17,FALSE)+VLOOKUP(A61,'Change in Proportion Layers'!$A$8:$Y$324,22,FALSE)</f>
        <v>-487561</v>
      </c>
      <c r="S61" s="64">
        <f>+M61+VLOOKUP(A61,'Change in Proportion Layers'!$A$8:$Y$324,5,FALSE)+VLOOKUP(A61,'Change in Proportion Layers'!$A$8:$Y$324,12,FALSE)+VLOOKUP(A61,'Change in Proportion Layers'!$A$8:$Y$324,18,FALSE)</f>
        <v>-264789</v>
      </c>
      <c r="T61" s="64">
        <f>+N61+VLOOKUP(A61,'Change in Proportion Layers'!$A$8:$Y$324,6,FALSE)+VLOOKUP(A61,'Change in Proportion Layers'!$A$8:$Y$324,13,FALSE)</f>
        <v>-393291</v>
      </c>
      <c r="U61" s="64">
        <f>+O61+VLOOKUP(A61,'Change in Proportion Layers'!$A$8:$Y$324,7,FALSE)-1</f>
        <v>-247651</v>
      </c>
      <c r="W61" s="64">
        <f>('OPEB Amounts_Report'!H60-'OPEB Amounts_Report'!M60)</f>
        <v>-2550232</v>
      </c>
      <c r="X61" s="129">
        <f>SUM(Q61:U61)-('OPEB Amounts_Report'!H61-'OPEB Amounts_Report'!M61)</f>
        <v>0</v>
      </c>
    </row>
    <row r="62" spans="1:24">
      <c r="A62" s="184">
        <v>2310</v>
      </c>
      <c r="B62" s="185" t="s">
        <v>51</v>
      </c>
      <c r="C62" s="63">
        <f t="shared" si="0"/>
        <v>-5354538</v>
      </c>
      <c r="D62" s="63">
        <f t="shared" si="0"/>
        <v>-3992032</v>
      </c>
      <c r="E62" s="63">
        <f t="shared" si="0"/>
        <v>-3289950</v>
      </c>
      <c r="F62" s="63">
        <f t="shared" si="0"/>
        <v>-3185411</v>
      </c>
      <c r="G62" s="63">
        <f t="shared" si="0"/>
        <v>-1754107</v>
      </c>
      <c r="I62" s="186"/>
      <c r="K62" s="64">
        <f>ROUND(VLOOKUP($A62,'Contribution Allocation_Report'!$A$9:$D$311,4,FALSE)*$K$326,0)</f>
        <v>-4305072</v>
      </c>
      <c r="L62" s="64">
        <f>ROUND(VLOOKUP($A62,'Contribution Allocation_Report'!$A$9:$D$311,4,FALSE)*$L$326,0)</f>
        <v>-3128308</v>
      </c>
      <c r="M62" s="64">
        <f>ROUND(VLOOKUP($A62,'Contribution Allocation_Report'!$A$9:$D$311,4,FALSE)*$M$326,0)</f>
        <v>-1887825</v>
      </c>
      <c r="N62" s="64">
        <f>ROUND(VLOOKUP($A62,'Contribution Allocation_Report'!$A$9:$D$311,4,FALSE)*$N$326,0)</f>
        <v>-2846218</v>
      </c>
      <c r="O62" s="64">
        <f>ROUND(VLOOKUP($A62,'Contribution Allocation_Report'!$A$9:$D$311,4,FALSE)*$O$326,0)</f>
        <v>-1621403</v>
      </c>
      <c r="Q62" s="64">
        <f>+K62+VLOOKUP(A62,'Change in Proportion Layers'!$A$8:$N$324,3,FALSE)+VLOOKUP(A62,'Change in Proportion Layers'!$A$8:$Y$324,10,FALSE)+VLOOKUP(A62,'Change in Proportion Layers'!$A$8:$Y$324,16,FALSE)+VLOOKUP(A62,'Change in Proportion Layers'!$A$8:$Y$324,21,FALSE)+VLOOKUP(A62,'Change in Proportion Layers'!$A$8:$Y$324,25,FALSE)</f>
        <v>-5354538</v>
      </c>
      <c r="R62" s="64">
        <f>+L62+VLOOKUP(A62,'Change in Proportion Layers'!$A$8:$Y$324,4,FALSE)+VLOOKUP(A62,'Change in Proportion Layers'!$A$8:$Y$324,11,FALSE)+VLOOKUP(A62,'Change in Proportion Layers'!$A$8:$Y$324,17,FALSE)+VLOOKUP(A62,'Change in Proportion Layers'!$A$8:$Y$324,22,FALSE)</f>
        <v>-3992032</v>
      </c>
      <c r="S62" s="64">
        <f>+M62+VLOOKUP(A62,'Change in Proportion Layers'!$A$8:$Y$324,5,FALSE)+VLOOKUP(A62,'Change in Proportion Layers'!$A$8:$Y$324,12,FALSE)+VLOOKUP(A62,'Change in Proportion Layers'!$A$8:$Y$324,18,FALSE)</f>
        <v>-3289950</v>
      </c>
      <c r="T62" s="64">
        <f>+N62+VLOOKUP(A62,'Change in Proportion Layers'!$A$8:$Y$324,6,FALSE)+VLOOKUP(A62,'Change in Proportion Layers'!$A$8:$Y$324,13,FALSE)</f>
        <v>-3185411</v>
      </c>
      <c r="U62" s="64">
        <f>+O62+VLOOKUP(A62,'Change in Proportion Layers'!$A$8:$Y$324,7,FALSE)</f>
        <v>-1754107</v>
      </c>
      <c r="W62" s="64">
        <f>('OPEB Amounts_Report'!H61-'OPEB Amounts_Report'!M61)</f>
        <v>-2038862</v>
      </c>
      <c r="X62" s="129">
        <f>SUM(Q62:U62)-('OPEB Amounts_Report'!H62-'OPEB Amounts_Report'!M62)</f>
        <v>0</v>
      </c>
    </row>
    <row r="63" spans="1:24">
      <c r="A63" s="187">
        <v>2330</v>
      </c>
      <c r="B63" s="188" t="s">
        <v>52</v>
      </c>
      <c r="C63" s="5">
        <f t="shared" ref="C63:G113" si="1">+Q63</f>
        <v>-2001822</v>
      </c>
      <c r="D63" s="5">
        <f t="shared" si="1"/>
        <v>-1725268</v>
      </c>
      <c r="E63" s="5">
        <f t="shared" si="1"/>
        <v>-794977</v>
      </c>
      <c r="F63" s="5">
        <f t="shared" si="1"/>
        <v>-1084874</v>
      </c>
      <c r="G63" s="5">
        <f t="shared" si="1"/>
        <v>-497208</v>
      </c>
      <c r="I63" s="186"/>
      <c r="K63" s="64">
        <f>ROUND(VLOOKUP($A63,'Contribution Allocation_Report'!$A$9:$D$311,4,FALSE)*$K$326,0)</f>
        <v>-1533970</v>
      </c>
      <c r="L63" s="64">
        <f>ROUND(VLOOKUP($A63,'Contribution Allocation_Report'!$A$9:$D$311,4,FALSE)*$L$326,0)</f>
        <v>-1114669</v>
      </c>
      <c r="M63" s="64">
        <f>ROUND(VLOOKUP($A63,'Contribution Allocation_Report'!$A$9:$D$311,4,FALSE)*$M$326,0)</f>
        <v>-672664</v>
      </c>
      <c r="N63" s="64">
        <f>ROUND(VLOOKUP($A63,'Contribution Allocation_Report'!$A$9:$D$311,4,FALSE)*$N$326,0)</f>
        <v>-1014155</v>
      </c>
      <c r="O63" s="64">
        <f>ROUND(VLOOKUP($A63,'Contribution Allocation_Report'!$A$9:$D$311,4,FALSE)*$O$326,0)</f>
        <v>-577733</v>
      </c>
      <c r="Q63" s="64">
        <f>+K63+VLOOKUP(A63,'Change in Proportion Layers'!$A$8:$N$324,3,FALSE)+VLOOKUP(A63,'Change in Proportion Layers'!$A$8:$Y$324,10,FALSE)+VLOOKUP(A63,'Change in Proportion Layers'!$A$8:$Y$324,16,FALSE)+VLOOKUP(A63,'Change in Proportion Layers'!$A$8:$Y$324,21,FALSE)+VLOOKUP(A63,'Change in Proportion Layers'!$A$8:$Y$324,25,FALSE)</f>
        <v>-2001822</v>
      </c>
      <c r="R63" s="64">
        <f>+L63+VLOOKUP(A63,'Change in Proportion Layers'!$A$8:$Y$324,4,FALSE)+VLOOKUP(A63,'Change in Proportion Layers'!$A$8:$Y$324,11,FALSE)+VLOOKUP(A63,'Change in Proportion Layers'!$A$8:$Y$324,17,FALSE)+VLOOKUP(A63,'Change in Proportion Layers'!$A$8:$Y$324,22,FALSE)</f>
        <v>-1725268</v>
      </c>
      <c r="S63" s="64">
        <f>+M63+VLOOKUP(A63,'Change in Proportion Layers'!$A$8:$Y$324,5,FALSE)+VLOOKUP(A63,'Change in Proportion Layers'!$A$8:$Y$324,12,FALSE)+VLOOKUP(A63,'Change in Proportion Layers'!$A$8:$Y$324,18,FALSE)</f>
        <v>-794977</v>
      </c>
      <c r="T63" s="64">
        <f>+N63+VLOOKUP(A63,'Change in Proportion Layers'!$A$8:$Y$324,6,FALSE)+VLOOKUP(A63,'Change in Proportion Layers'!$A$8:$Y$324,13,FALSE)</f>
        <v>-1084874</v>
      </c>
      <c r="U63" s="64">
        <f>+O63+VLOOKUP(A63,'Change in Proportion Layers'!$A$8:$Y$324,7,FALSE)-1</f>
        <v>-497208</v>
      </c>
      <c r="W63" s="64">
        <f>('OPEB Amounts_Report'!H62-'OPEB Amounts_Report'!M62)</f>
        <v>-17576038</v>
      </c>
      <c r="X63" s="129">
        <f>SUM(Q63:U63)-('OPEB Amounts_Report'!H63-'OPEB Amounts_Report'!M63)</f>
        <v>0</v>
      </c>
    </row>
    <row r="64" spans="1:24">
      <c r="A64" s="184">
        <v>2380</v>
      </c>
      <c r="B64" s="185" t="s">
        <v>53</v>
      </c>
      <c r="C64" s="63">
        <f t="shared" si="1"/>
        <v>-1421</v>
      </c>
      <c r="D64" s="63">
        <f t="shared" si="1"/>
        <v>26997</v>
      </c>
      <c r="E64" s="63">
        <f t="shared" si="1"/>
        <v>44575</v>
      </c>
      <c r="F64" s="63">
        <f t="shared" si="1"/>
        <v>-72295</v>
      </c>
      <c r="G64" s="63">
        <f t="shared" si="1"/>
        <v>-64455</v>
      </c>
      <c r="I64" s="186"/>
      <c r="K64" s="64">
        <f>ROUND(VLOOKUP($A64,'Contribution Allocation_Report'!$A$9:$D$311,4,FALSE)*$K$326,0)</f>
        <v>-232957</v>
      </c>
      <c r="L64" s="64">
        <f>ROUND(VLOOKUP($A64,'Contribution Allocation_Report'!$A$9:$D$311,4,FALSE)*$L$326,0)</f>
        <v>-169279</v>
      </c>
      <c r="M64" s="64">
        <f>ROUND(VLOOKUP($A64,'Contribution Allocation_Report'!$A$9:$D$311,4,FALSE)*$M$326,0)</f>
        <v>-102154</v>
      </c>
      <c r="N64" s="64">
        <f>ROUND(VLOOKUP($A64,'Contribution Allocation_Report'!$A$9:$D$311,4,FALSE)*$N$326,0)</f>
        <v>-154015</v>
      </c>
      <c r="O64" s="64">
        <f>ROUND(VLOOKUP($A64,'Contribution Allocation_Report'!$A$9:$D$311,4,FALSE)*$O$326,0)</f>
        <v>-87738</v>
      </c>
      <c r="Q64" s="64">
        <f>+K64+VLOOKUP(A64,'Change in Proportion Layers'!$A$8:$N$324,3,FALSE)+VLOOKUP(A64,'Change in Proportion Layers'!$A$8:$Y$324,10,FALSE)+VLOOKUP(A64,'Change in Proportion Layers'!$A$8:$Y$324,16,FALSE)+VLOOKUP(A64,'Change in Proportion Layers'!$A$8:$Y$324,21,FALSE)+VLOOKUP(A64,'Change in Proportion Layers'!$A$8:$Y$324,25,FALSE)</f>
        <v>-1421</v>
      </c>
      <c r="R64" s="64">
        <f>+L64+VLOOKUP(A64,'Change in Proportion Layers'!$A$8:$Y$324,4,FALSE)+VLOOKUP(A64,'Change in Proportion Layers'!$A$8:$Y$324,11,FALSE)+VLOOKUP(A64,'Change in Proportion Layers'!$A$8:$Y$324,17,FALSE)+VLOOKUP(A64,'Change in Proportion Layers'!$A$8:$Y$324,22,FALSE)</f>
        <v>26997</v>
      </c>
      <c r="S64" s="64">
        <f>+M64+VLOOKUP(A64,'Change in Proportion Layers'!$A$8:$Y$324,5,FALSE)+VLOOKUP(A64,'Change in Proportion Layers'!$A$8:$Y$324,12,FALSE)+VLOOKUP(A64,'Change in Proportion Layers'!$A$8:$Y$324,18,FALSE)</f>
        <v>44575</v>
      </c>
      <c r="T64" s="64">
        <f>+N64+VLOOKUP(A64,'Change in Proportion Layers'!$A$8:$Y$324,6,FALSE)+VLOOKUP(A64,'Change in Proportion Layers'!$A$8:$Y$324,13,FALSE)</f>
        <v>-72295</v>
      </c>
      <c r="U64" s="64">
        <f>+O64+VLOOKUP(A64,'Change in Proportion Layers'!$A$8:$Y$324,7,FALSE)</f>
        <v>-64455</v>
      </c>
      <c r="W64" s="64">
        <f>('OPEB Amounts_Report'!H63-'OPEB Amounts_Report'!M63)</f>
        <v>-6104149</v>
      </c>
      <c r="X64" s="129">
        <f>SUM(Q64:U64)-('OPEB Amounts_Report'!H64-'OPEB Amounts_Report'!M64)</f>
        <v>0</v>
      </c>
    </row>
    <row r="65" spans="1:24">
      <c r="A65" s="187">
        <v>2400</v>
      </c>
      <c r="B65" s="188" t="s">
        <v>54</v>
      </c>
      <c r="C65" s="5">
        <f t="shared" si="1"/>
        <v>-7386414</v>
      </c>
      <c r="D65" s="5">
        <f t="shared" si="1"/>
        <v>-5594643</v>
      </c>
      <c r="E65" s="5">
        <f t="shared" si="1"/>
        <v>-4298843</v>
      </c>
      <c r="F65" s="5">
        <f t="shared" si="1"/>
        <v>-4900954</v>
      </c>
      <c r="G65" s="5">
        <f t="shared" si="1"/>
        <v>-2890540</v>
      </c>
      <c r="I65" s="186"/>
      <c r="K65" s="64">
        <f>ROUND(VLOOKUP($A65,'Contribution Allocation_Report'!$A$9:$D$311,4,FALSE)*$K$326,0)</f>
        <v>-7441631</v>
      </c>
      <c r="L65" s="64">
        <f>ROUND(VLOOKUP($A65,'Contribution Allocation_Report'!$A$9:$D$311,4,FALSE)*$L$326,0)</f>
        <v>-5407508</v>
      </c>
      <c r="M65" s="64">
        <f>ROUND(VLOOKUP($A65,'Contribution Allocation_Report'!$A$9:$D$311,4,FALSE)*$M$326,0)</f>
        <v>-3263243</v>
      </c>
      <c r="N65" s="64">
        <f>ROUND(VLOOKUP($A65,'Contribution Allocation_Report'!$A$9:$D$311,4,FALSE)*$N$326,0)</f>
        <v>-4919895</v>
      </c>
      <c r="O65" s="64">
        <f>ROUND(VLOOKUP($A65,'Contribution Allocation_Report'!$A$9:$D$311,4,FALSE)*$O$326,0)</f>
        <v>-2802714</v>
      </c>
      <c r="Q65" s="64">
        <f>+K65+VLOOKUP(A65,'Change in Proportion Layers'!$A$8:$N$324,3,FALSE)+VLOOKUP(A65,'Change in Proportion Layers'!$A$8:$Y$324,10,FALSE)+VLOOKUP(A65,'Change in Proportion Layers'!$A$8:$Y$324,16,FALSE)+VLOOKUP(A65,'Change in Proportion Layers'!$A$8:$Y$324,21,FALSE)+VLOOKUP(A65,'Change in Proportion Layers'!$A$8:$Y$324,25,FALSE)</f>
        <v>-7386414</v>
      </c>
      <c r="R65" s="64">
        <f>+L65+VLOOKUP(A65,'Change in Proportion Layers'!$A$8:$Y$324,4,FALSE)+VLOOKUP(A65,'Change in Proportion Layers'!$A$8:$Y$324,11,FALSE)+VLOOKUP(A65,'Change in Proportion Layers'!$A$8:$Y$324,17,FALSE)+VLOOKUP(A65,'Change in Proportion Layers'!$A$8:$Y$324,22,FALSE)</f>
        <v>-5594643</v>
      </c>
      <c r="S65" s="64">
        <f>+M65+VLOOKUP(A65,'Change in Proportion Layers'!$A$8:$Y$324,5,FALSE)+VLOOKUP(A65,'Change in Proportion Layers'!$A$8:$Y$324,12,FALSE)+VLOOKUP(A65,'Change in Proportion Layers'!$A$8:$Y$324,18,FALSE)</f>
        <v>-4298843</v>
      </c>
      <c r="T65" s="64">
        <f>+N65+VLOOKUP(A65,'Change in Proportion Layers'!$A$8:$Y$324,6,FALSE)+VLOOKUP(A65,'Change in Proportion Layers'!$A$8:$Y$324,13,FALSE)</f>
        <v>-4900954</v>
      </c>
      <c r="U65" s="64">
        <f>+O65+VLOOKUP(A65,'Change in Proportion Layers'!$A$8:$Y$324,7,FALSE)</f>
        <v>-2890540</v>
      </c>
      <c r="W65" s="64">
        <f>('OPEB Amounts_Report'!H64-'OPEB Amounts_Report'!M64)</f>
        <v>-66599</v>
      </c>
      <c r="X65" s="129">
        <f>SUM(Q65:U65)-('OPEB Amounts_Report'!H65-'OPEB Amounts_Report'!M65)</f>
        <v>0</v>
      </c>
    </row>
    <row r="66" spans="1:24">
      <c r="A66" s="184">
        <v>2410</v>
      </c>
      <c r="B66" s="185" t="s">
        <v>55</v>
      </c>
      <c r="C66" s="63">
        <f t="shared" si="1"/>
        <v>-1159555</v>
      </c>
      <c r="D66" s="63">
        <f t="shared" si="1"/>
        <v>-766722</v>
      </c>
      <c r="E66" s="63">
        <f t="shared" si="1"/>
        <v>-273119</v>
      </c>
      <c r="F66" s="63">
        <f t="shared" si="1"/>
        <v>-573057</v>
      </c>
      <c r="G66" s="63">
        <f t="shared" si="1"/>
        <v>-350829</v>
      </c>
      <c r="I66" s="186"/>
      <c r="K66" s="64">
        <f>ROUND(VLOOKUP($A66,'Contribution Allocation_Report'!$A$9:$D$311,4,FALSE)*$K$326,0)</f>
        <v>-908793</v>
      </c>
      <c r="L66" s="64">
        <f>ROUND(VLOOKUP($A66,'Contribution Allocation_Report'!$A$9:$D$311,4,FALSE)*$L$326,0)</f>
        <v>-660380</v>
      </c>
      <c r="M66" s="64">
        <f>ROUND(VLOOKUP($A66,'Contribution Allocation_Report'!$A$9:$D$311,4,FALSE)*$M$326,0)</f>
        <v>-398516</v>
      </c>
      <c r="N66" s="64">
        <f>ROUND(VLOOKUP($A66,'Contribution Allocation_Report'!$A$9:$D$311,4,FALSE)*$N$326,0)</f>
        <v>-600831</v>
      </c>
      <c r="O66" s="64">
        <f>ROUND(VLOOKUP($A66,'Contribution Allocation_Report'!$A$9:$D$311,4,FALSE)*$O$326,0)</f>
        <v>-342275</v>
      </c>
      <c r="Q66" s="64">
        <f>+K66+VLOOKUP(A66,'Change in Proportion Layers'!$A$8:$N$324,3,FALSE)+VLOOKUP(A66,'Change in Proportion Layers'!$A$8:$Y$324,10,FALSE)+VLOOKUP(A66,'Change in Proportion Layers'!$A$8:$Y$324,16,FALSE)+VLOOKUP(A66,'Change in Proportion Layers'!$A$8:$Y$324,21,FALSE)+VLOOKUP(A66,'Change in Proportion Layers'!$A$8:$Y$324,25,FALSE)</f>
        <v>-1159555</v>
      </c>
      <c r="R66" s="64">
        <f>+L66+VLOOKUP(A66,'Change in Proportion Layers'!$A$8:$Y$324,4,FALSE)+VLOOKUP(A66,'Change in Proportion Layers'!$A$8:$Y$324,11,FALSE)+VLOOKUP(A66,'Change in Proportion Layers'!$A$8:$Y$324,17,FALSE)+VLOOKUP(A66,'Change in Proportion Layers'!$A$8:$Y$324,22,FALSE)</f>
        <v>-766722</v>
      </c>
      <c r="S66" s="64">
        <f>+M66+VLOOKUP(A66,'Change in Proportion Layers'!$A$8:$Y$324,5,FALSE)+VLOOKUP(A66,'Change in Proportion Layers'!$A$8:$Y$324,12,FALSE)+VLOOKUP(A66,'Change in Proportion Layers'!$A$8:$Y$324,18,FALSE)</f>
        <v>-273119</v>
      </c>
      <c r="T66" s="64">
        <f>+N66+VLOOKUP(A66,'Change in Proportion Layers'!$A$8:$Y$324,6,FALSE)+VLOOKUP(A66,'Change in Proportion Layers'!$A$8:$Y$324,13,FALSE)</f>
        <v>-573057</v>
      </c>
      <c r="U66" s="64">
        <f>+O66+VLOOKUP(A66,'Change in Proportion Layers'!$A$8:$Y$324,7,FALSE)-1</f>
        <v>-350829</v>
      </c>
      <c r="W66" s="64">
        <f>('OPEB Amounts_Report'!H65-'OPEB Amounts_Report'!M65)</f>
        <v>-25071394</v>
      </c>
      <c r="X66" s="129">
        <f>SUM(Q66:U66)-('OPEB Amounts_Report'!H66-'OPEB Amounts_Report'!M66)</f>
        <v>0</v>
      </c>
    </row>
    <row r="67" spans="1:24">
      <c r="A67" s="187">
        <v>2500</v>
      </c>
      <c r="B67" s="188" t="s">
        <v>56</v>
      </c>
      <c r="C67" s="5">
        <f t="shared" si="1"/>
        <v>-144469</v>
      </c>
      <c r="D67" s="5">
        <f t="shared" si="1"/>
        <v>-123824</v>
      </c>
      <c r="E67" s="5">
        <f t="shared" si="1"/>
        <v>-50453</v>
      </c>
      <c r="F67" s="5">
        <f t="shared" si="1"/>
        <v>-71020</v>
      </c>
      <c r="G67" s="5">
        <f t="shared" si="1"/>
        <v>-36823</v>
      </c>
      <c r="I67" s="186"/>
      <c r="K67" s="64">
        <f>ROUND(VLOOKUP($A67,'Contribution Allocation_Report'!$A$9:$D$311,4,FALSE)*$K$326,0)</f>
        <v>-145607</v>
      </c>
      <c r="L67" s="64">
        <f>ROUND(VLOOKUP($A67,'Contribution Allocation_Report'!$A$9:$D$311,4,FALSE)*$L$326,0)</f>
        <v>-105806</v>
      </c>
      <c r="M67" s="64">
        <f>ROUND(VLOOKUP($A67,'Contribution Allocation_Report'!$A$9:$D$311,4,FALSE)*$M$326,0)</f>
        <v>-63850</v>
      </c>
      <c r="N67" s="64">
        <f>ROUND(VLOOKUP($A67,'Contribution Allocation_Report'!$A$9:$D$311,4,FALSE)*$N$326,0)</f>
        <v>-96265</v>
      </c>
      <c r="O67" s="64">
        <f>ROUND(VLOOKUP($A67,'Contribution Allocation_Report'!$A$9:$D$311,4,FALSE)*$O$326,0)</f>
        <v>-54839</v>
      </c>
      <c r="Q67" s="64">
        <f>+K67+VLOOKUP(A67,'Change in Proportion Layers'!$A$8:$N$324,3,FALSE)+VLOOKUP(A67,'Change in Proportion Layers'!$A$8:$Y$324,10,FALSE)+VLOOKUP(A67,'Change in Proportion Layers'!$A$8:$Y$324,16,FALSE)+VLOOKUP(A67,'Change in Proportion Layers'!$A$8:$Y$324,21,FALSE)+VLOOKUP(A67,'Change in Proportion Layers'!$A$8:$Y$324,25,FALSE)</f>
        <v>-144469</v>
      </c>
      <c r="R67" s="64">
        <f>+L67+VLOOKUP(A67,'Change in Proportion Layers'!$A$8:$Y$324,4,FALSE)+VLOOKUP(A67,'Change in Proportion Layers'!$A$8:$Y$324,11,FALSE)+VLOOKUP(A67,'Change in Proportion Layers'!$A$8:$Y$324,17,FALSE)+VLOOKUP(A67,'Change in Proportion Layers'!$A$8:$Y$324,22,FALSE)</f>
        <v>-123824</v>
      </c>
      <c r="S67" s="64">
        <f>+M67+VLOOKUP(A67,'Change in Proportion Layers'!$A$8:$Y$324,5,FALSE)+VLOOKUP(A67,'Change in Proportion Layers'!$A$8:$Y$324,12,FALSE)+VLOOKUP(A67,'Change in Proportion Layers'!$A$8:$Y$324,18,FALSE)</f>
        <v>-50453</v>
      </c>
      <c r="T67" s="64">
        <f>+N67+VLOOKUP(A67,'Change in Proportion Layers'!$A$8:$Y$324,6,FALSE)+VLOOKUP(A67,'Change in Proportion Layers'!$A$8:$Y$324,13,FALSE)</f>
        <v>-71020</v>
      </c>
      <c r="U67" s="64">
        <f>+O67+VLOOKUP(A67,'Change in Proportion Layers'!$A$8:$Y$324,7,FALSE)</f>
        <v>-36823</v>
      </c>
      <c r="W67" s="64">
        <f>('OPEB Amounts_Report'!H66-'OPEB Amounts_Report'!M66)</f>
        <v>-3123282</v>
      </c>
      <c r="X67" s="129">
        <f>SUM(Q67:U67)-('OPEB Amounts_Report'!H67-'OPEB Amounts_Report'!M67)</f>
        <v>0</v>
      </c>
    </row>
    <row r="68" spans="1:24">
      <c r="A68" s="184">
        <v>2550</v>
      </c>
      <c r="B68" s="185" t="s">
        <v>57</v>
      </c>
      <c r="C68" s="63">
        <f t="shared" si="1"/>
        <v>-679846</v>
      </c>
      <c r="D68" s="63">
        <f t="shared" si="1"/>
        <v>-514152</v>
      </c>
      <c r="E68" s="63">
        <f t="shared" si="1"/>
        <v>-314309</v>
      </c>
      <c r="F68" s="63">
        <f t="shared" si="1"/>
        <v>-380965</v>
      </c>
      <c r="G68" s="63">
        <f t="shared" si="1"/>
        <v>-212149</v>
      </c>
      <c r="I68" s="186"/>
      <c r="K68" s="64">
        <f>ROUND(VLOOKUP($A68,'Contribution Allocation_Report'!$A$9:$D$311,4,FALSE)*$K$326,0)</f>
        <v>-545534</v>
      </c>
      <c r="L68" s="64">
        <f>ROUND(VLOOKUP($A68,'Contribution Allocation_Report'!$A$9:$D$311,4,FALSE)*$L$326,0)</f>
        <v>-396415</v>
      </c>
      <c r="M68" s="64">
        <f>ROUND(VLOOKUP($A68,'Contribution Allocation_Report'!$A$9:$D$311,4,FALSE)*$M$326,0)</f>
        <v>-239223</v>
      </c>
      <c r="N68" s="64">
        <f>ROUND(VLOOKUP($A68,'Contribution Allocation_Report'!$A$9:$D$311,4,FALSE)*$N$326,0)</f>
        <v>-360669</v>
      </c>
      <c r="O68" s="64">
        <f>ROUND(VLOOKUP($A68,'Contribution Allocation_Report'!$A$9:$D$311,4,FALSE)*$O$326,0)</f>
        <v>-205462</v>
      </c>
      <c r="Q68" s="64">
        <f>+K68+VLOOKUP(A68,'Change in Proportion Layers'!$A$8:$N$324,3,FALSE)+VLOOKUP(A68,'Change in Proportion Layers'!$A$8:$Y$324,10,FALSE)+VLOOKUP(A68,'Change in Proportion Layers'!$A$8:$Y$324,16,FALSE)+VLOOKUP(A68,'Change in Proportion Layers'!$A$8:$Y$324,21,FALSE)+VLOOKUP(A68,'Change in Proportion Layers'!$A$8:$Y$324,25,FALSE)</f>
        <v>-679846</v>
      </c>
      <c r="R68" s="64">
        <f>+L68+VLOOKUP(A68,'Change in Proportion Layers'!$A$8:$Y$324,4,FALSE)+VLOOKUP(A68,'Change in Proportion Layers'!$A$8:$Y$324,11,FALSE)+VLOOKUP(A68,'Change in Proportion Layers'!$A$8:$Y$324,17,FALSE)+VLOOKUP(A68,'Change in Proportion Layers'!$A$8:$Y$324,22,FALSE)</f>
        <v>-514152</v>
      </c>
      <c r="S68" s="64">
        <f>+M68+VLOOKUP(A68,'Change in Proportion Layers'!$A$8:$Y$324,5,FALSE)+VLOOKUP(A68,'Change in Proportion Layers'!$A$8:$Y$324,12,FALSE)+VLOOKUP(A68,'Change in Proportion Layers'!$A$8:$Y$324,18,FALSE)</f>
        <v>-314309</v>
      </c>
      <c r="T68" s="64">
        <f>+N68+VLOOKUP(A68,'Change in Proportion Layers'!$A$8:$Y$324,6,FALSE)+VLOOKUP(A68,'Change in Proportion Layers'!$A$8:$Y$324,13,FALSE)</f>
        <v>-380965</v>
      </c>
      <c r="U68" s="64">
        <f>+O68+VLOOKUP(A68,'Change in Proportion Layers'!$A$8:$Y$324,7,FALSE)</f>
        <v>-212149</v>
      </c>
      <c r="W68" s="64">
        <f>('OPEB Amounts_Report'!H67-'OPEB Amounts_Report'!M67)</f>
        <v>-426589</v>
      </c>
      <c r="X68" s="129">
        <f>SUM(Q68:U68)-('OPEB Amounts_Report'!H68-'OPEB Amounts_Report'!M68)</f>
        <v>0</v>
      </c>
    </row>
    <row r="69" spans="1:24">
      <c r="A69" s="187">
        <v>2570</v>
      </c>
      <c r="B69" s="188" t="s">
        <v>58</v>
      </c>
      <c r="C69" s="5">
        <f t="shared" si="1"/>
        <v>-446957</v>
      </c>
      <c r="D69" s="5">
        <f t="shared" si="1"/>
        <v>-329548</v>
      </c>
      <c r="E69" s="5">
        <f t="shared" si="1"/>
        <v>-213295</v>
      </c>
      <c r="F69" s="5">
        <f t="shared" si="1"/>
        <v>-254567</v>
      </c>
      <c r="G69" s="5">
        <f t="shared" si="1"/>
        <v>-147323</v>
      </c>
      <c r="I69" s="186"/>
      <c r="K69" s="64">
        <f>ROUND(VLOOKUP($A69,'Contribution Allocation_Report'!$A$9:$D$311,4,FALSE)*$K$326,0)</f>
        <v>-338152</v>
      </c>
      <c r="L69" s="64">
        <f>ROUND(VLOOKUP($A69,'Contribution Allocation_Report'!$A$9:$D$311,4,FALSE)*$L$326,0)</f>
        <v>-245720</v>
      </c>
      <c r="M69" s="64">
        <f>ROUND(VLOOKUP($A69,'Contribution Allocation_Report'!$A$9:$D$311,4,FALSE)*$M$326,0)</f>
        <v>-148284</v>
      </c>
      <c r="N69" s="64">
        <f>ROUND(VLOOKUP($A69,'Contribution Allocation_Report'!$A$9:$D$311,4,FALSE)*$N$326,0)</f>
        <v>-223563</v>
      </c>
      <c r="O69" s="64">
        <f>ROUND(VLOOKUP($A69,'Contribution Allocation_Report'!$A$9:$D$311,4,FALSE)*$O$326,0)</f>
        <v>-127357</v>
      </c>
      <c r="Q69" s="64">
        <f>+K69+VLOOKUP(A69,'Change in Proportion Layers'!$A$8:$N$324,3,FALSE)+VLOOKUP(A69,'Change in Proportion Layers'!$A$8:$Y$324,10,FALSE)+VLOOKUP(A69,'Change in Proportion Layers'!$A$8:$Y$324,16,FALSE)+VLOOKUP(A69,'Change in Proportion Layers'!$A$8:$Y$324,21,FALSE)+VLOOKUP(A69,'Change in Proportion Layers'!$A$8:$Y$324,25,FALSE)</f>
        <v>-446957</v>
      </c>
      <c r="R69" s="64">
        <f>+L69+VLOOKUP(A69,'Change in Proportion Layers'!$A$8:$Y$324,4,FALSE)+VLOOKUP(A69,'Change in Proportion Layers'!$A$8:$Y$324,11,FALSE)+VLOOKUP(A69,'Change in Proportion Layers'!$A$8:$Y$324,17,FALSE)+VLOOKUP(A69,'Change in Proportion Layers'!$A$8:$Y$324,22,FALSE)</f>
        <v>-329548</v>
      </c>
      <c r="S69" s="64">
        <f>+M69+VLOOKUP(A69,'Change in Proportion Layers'!$A$8:$Y$324,5,FALSE)+VLOOKUP(A69,'Change in Proportion Layers'!$A$8:$Y$324,12,FALSE)+VLOOKUP(A69,'Change in Proportion Layers'!$A$8:$Y$324,18,FALSE)</f>
        <v>-213295</v>
      </c>
      <c r="T69" s="64">
        <f>+N69+VLOOKUP(A69,'Change in Proportion Layers'!$A$8:$Y$324,6,FALSE)+VLOOKUP(A69,'Change in Proportion Layers'!$A$8:$Y$324,13,FALSE)</f>
        <v>-254567</v>
      </c>
      <c r="U69" s="64">
        <f>+O69+VLOOKUP(A69,'Change in Proportion Layers'!$A$8:$Y$324,7,FALSE)</f>
        <v>-147323</v>
      </c>
      <c r="W69" s="64">
        <f>('OPEB Amounts_Report'!H68-'OPEB Amounts_Report'!M68)</f>
        <v>-2101421</v>
      </c>
      <c r="X69" s="129">
        <f>SUM(Q69:U69)-('OPEB Amounts_Report'!H69-'OPEB Amounts_Report'!M69)</f>
        <v>0</v>
      </c>
    </row>
    <row r="70" spans="1:24">
      <c r="A70" s="184">
        <v>2620</v>
      </c>
      <c r="B70" s="185" t="s">
        <v>59</v>
      </c>
      <c r="C70" s="63">
        <f t="shared" si="1"/>
        <v>-3673848</v>
      </c>
      <c r="D70" s="63">
        <f t="shared" si="1"/>
        <v>-2499238</v>
      </c>
      <c r="E70" s="63">
        <f t="shared" si="1"/>
        <v>-1511113</v>
      </c>
      <c r="F70" s="63">
        <f t="shared" si="1"/>
        <v>-2366797</v>
      </c>
      <c r="G70" s="63">
        <f t="shared" si="1"/>
        <v>-1311060</v>
      </c>
      <c r="I70" s="186"/>
      <c r="K70" s="64">
        <f>ROUND(VLOOKUP($A70,'Contribution Allocation_Report'!$A$9:$D$311,4,FALSE)*$K$326,0)</f>
        <v>-3237727</v>
      </c>
      <c r="L70" s="64">
        <f>ROUND(VLOOKUP($A70,'Contribution Allocation_Report'!$A$9:$D$311,4,FALSE)*$L$326,0)</f>
        <v>-2352715</v>
      </c>
      <c r="M70" s="64">
        <f>ROUND(VLOOKUP($A70,'Contribution Allocation_Report'!$A$9:$D$311,4,FALSE)*$M$326,0)</f>
        <v>-1419781</v>
      </c>
      <c r="N70" s="64">
        <f>ROUND(VLOOKUP($A70,'Contribution Allocation_Report'!$A$9:$D$311,4,FALSE)*$N$326,0)</f>
        <v>-2140562</v>
      </c>
      <c r="O70" s="64">
        <f>ROUND(VLOOKUP($A70,'Contribution Allocation_Report'!$A$9:$D$311,4,FALSE)*$O$326,0)</f>
        <v>-1219413</v>
      </c>
      <c r="Q70" s="64">
        <f>+K70+VLOOKUP(A70,'Change in Proportion Layers'!$A$8:$N$324,3,FALSE)+VLOOKUP(A70,'Change in Proportion Layers'!$A$8:$Y$324,10,FALSE)+VLOOKUP(A70,'Change in Proportion Layers'!$A$8:$Y$324,16,FALSE)+VLOOKUP(A70,'Change in Proportion Layers'!$A$8:$Y$324,21,FALSE)+VLOOKUP(A70,'Change in Proportion Layers'!$A$8:$Y$324,25,FALSE)</f>
        <v>-3673848</v>
      </c>
      <c r="R70" s="64">
        <f>+L70+VLOOKUP(A70,'Change in Proportion Layers'!$A$8:$Y$324,4,FALSE)+VLOOKUP(A70,'Change in Proportion Layers'!$A$8:$Y$324,11,FALSE)+VLOOKUP(A70,'Change in Proportion Layers'!$A$8:$Y$324,17,FALSE)+VLOOKUP(A70,'Change in Proportion Layers'!$A$8:$Y$324,22,FALSE)</f>
        <v>-2499238</v>
      </c>
      <c r="S70" s="64">
        <f>+M70+VLOOKUP(A70,'Change in Proportion Layers'!$A$8:$Y$324,5,FALSE)+VLOOKUP(A70,'Change in Proportion Layers'!$A$8:$Y$324,12,FALSE)+VLOOKUP(A70,'Change in Proportion Layers'!$A$8:$Y$324,18,FALSE)</f>
        <v>-1511113</v>
      </c>
      <c r="T70" s="64">
        <f>+N70+VLOOKUP(A70,'Change in Proportion Layers'!$A$8:$Y$324,6,FALSE)+VLOOKUP(A70,'Change in Proportion Layers'!$A$8:$Y$324,13,FALSE)</f>
        <v>-2366797</v>
      </c>
      <c r="U70" s="64">
        <f>+O70+VLOOKUP(A70,'Change in Proportion Layers'!$A$8:$Y$324,7,FALSE)</f>
        <v>-1311060</v>
      </c>
      <c r="W70" s="64">
        <f>('OPEB Amounts_Report'!H69-'OPEB Amounts_Report'!M69)</f>
        <v>-1391690</v>
      </c>
      <c r="X70" s="129">
        <f>SUM(Q70:U70)-('OPEB Amounts_Report'!H70-'OPEB Amounts_Report'!M70)</f>
        <v>0</v>
      </c>
    </row>
    <row r="71" spans="1:24">
      <c r="A71" s="187">
        <v>2630</v>
      </c>
      <c r="B71" s="188" t="s">
        <v>60</v>
      </c>
      <c r="C71" s="5">
        <f t="shared" si="1"/>
        <v>-2443188</v>
      </c>
      <c r="D71" s="5">
        <f t="shared" si="1"/>
        <v>-1914050</v>
      </c>
      <c r="E71" s="5">
        <f t="shared" si="1"/>
        <v>-1207930</v>
      </c>
      <c r="F71" s="5">
        <f t="shared" si="1"/>
        <v>-1619692</v>
      </c>
      <c r="G71" s="5">
        <f t="shared" si="1"/>
        <v>-716218</v>
      </c>
      <c r="I71" s="186"/>
      <c r="K71" s="64">
        <f>ROUND(VLOOKUP($A71,'Contribution Allocation_Report'!$A$9:$D$311,4,FALSE)*$K$326,0)</f>
        <v>-2770717</v>
      </c>
      <c r="L71" s="64">
        <f>ROUND(VLOOKUP($A71,'Contribution Allocation_Report'!$A$9:$D$311,4,FALSE)*$L$326,0)</f>
        <v>-2013359</v>
      </c>
      <c r="M71" s="64">
        <f>ROUND(VLOOKUP($A71,'Contribution Allocation_Report'!$A$9:$D$311,4,FALSE)*$M$326,0)</f>
        <v>-1214992</v>
      </c>
      <c r="N71" s="64">
        <f>ROUND(VLOOKUP($A71,'Contribution Allocation_Report'!$A$9:$D$311,4,FALSE)*$N$326,0)</f>
        <v>-1831808</v>
      </c>
      <c r="O71" s="64">
        <f>ROUND(VLOOKUP($A71,'Contribution Allocation_Report'!$A$9:$D$311,4,FALSE)*$O$326,0)</f>
        <v>-1043525</v>
      </c>
      <c r="Q71" s="64">
        <f>+K71+VLOOKUP(A71,'Change in Proportion Layers'!$A$8:$N$324,3,FALSE)+VLOOKUP(A71,'Change in Proportion Layers'!$A$8:$Y$324,10,FALSE)+VLOOKUP(A71,'Change in Proportion Layers'!$A$8:$Y$324,16,FALSE)+VLOOKUP(A71,'Change in Proportion Layers'!$A$8:$Y$324,21,FALSE)+VLOOKUP(A71,'Change in Proportion Layers'!$A$8:$Y$324,25,FALSE)</f>
        <v>-2443188</v>
      </c>
      <c r="R71" s="64">
        <f>+L71+VLOOKUP(A71,'Change in Proportion Layers'!$A$8:$Y$324,4,FALSE)+VLOOKUP(A71,'Change in Proportion Layers'!$A$8:$Y$324,11,FALSE)+VLOOKUP(A71,'Change in Proportion Layers'!$A$8:$Y$324,17,FALSE)+VLOOKUP(A71,'Change in Proportion Layers'!$A$8:$Y$324,22,FALSE)</f>
        <v>-1914050</v>
      </c>
      <c r="S71" s="64">
        <f>+M71+VLOOKUP(A71,'Change in Proportion Layers'!$A$8:$Y$324,5,FALSE)+VLOOKUP(A71,'Change in Proportion Layers'!$A$8:$Y$324,12,FALSE)+VLOOKUP(A71,'Change in Proportion Layers'!$A$8:$Y$324,18,FALSE)</f>
        <v>-1207930</v>
      </c>
      <c r="T71" s="64">
        <f>+N71+VLOOKUP(A71,'Change in Proportion Layers'!$A$8:$Y$324,6,FALSE)+VLOOKUP(A71,'Change in Proportion Layers'!$A$8:$Y$324,13,FALSE)</f>
        <v>-1619692</v>
      </c>
      <c r="U71" s="64">
        <f>+O71+VLOOKUP(A71,'Change in Proportion Layers'!$A$8:$Y$324,7,FALSE)</f>
        <v>-716218</v>
      </c>
      <c r="W71" s="64">
        <f>('OPEB Amounts_Report'!H70-'OPEB Amounts_Report'!M70)</f>
        <v>-11362056</v>
      </c>
      <c r="X71" s="129">
        <f>SUM(Q71:U71)-('OPEB Amounts_Report'!H71-'OPEB Amounts_Report'!M71)</f>
        <v>0</v>
      </c>
    </row>
    <row r="72" spans="1:24">
      <c r="A72" s="184">
        <v>2690</v>
      </c>
      <c r="B72" s="185" t="s">
        <v>61</v>
      </c>
      <c r="C72" s="63">
        <f t="shared" si="1"/>
        <v>-8366904</v>
      </c>
      <c r="D72" s="63">
        <f t="shared" si="1"/>
        <v>-6893592</v>
      </c>
      <c r="E72" s="63">
        <f t="shared" si="1"/>
        <v>-4606074</v>
      </c>
      <c r="F72" s="63">
        <f t="shared" si="1"/>
        <v>-5239505</v>
      </c>
      <c r="G72" s="63">
        <f t="shared" si="1"/>
        <v>-2473521</v>
      </c>
      <c r="I72" s="186"/>
      <c r="K72" s="64">
        <f>ROUND(VLOOKUP($A72,'Contribution Allocation_Report'!$A$9:$D$311,4,FALSE)*$K$326,0)</f>
        <v>-6278926</v>
      </c>
      <c r="L72" s="64">
        <f>ROUND(VLOOKUP($A72,'Contribution Allocation_Report'!$A$9:$D$311,4,FALSE)*$L$326,0)</f>
        <v>-4562621</v>
      </c>
      <c r="M72" s="64">
        <f>ROUND(VLOOKUP($A72,'Contribution Allocation_Report'!$A$9:$D$311,4,FALSE)*$M$326,0)</f>
        <v>-2753383</v>
      </c>
      <c r="N72" s="64">
        <f>ROUND(VLOOKUP($A72,'Contribution Allocation_Report'!$A$9:$D$311,4,FALSE)*$N$326,0)</f>
        <v>-4151194</v>
      </c>
      <c r="O72" s="64">
        <f>ROUND(VLOOKUP($A72,'Contribution Allocation_Report'!$A$9:$D$311,4,FALSE)*$O$326,0)</f>
        <v>-2364808</v>
      </c>
      <c r="Q72" s="64">
        <f>+K72+VLOOKUP(A72,'Change in Proportion Layers'!$A$8:$N$324,3,FALSE)+VLOOKUP(A72,'Change in Proportion Layers'!$A$8:$Y$324,10,FALSE)+VLOOKUP(A72,'Change in Proportion Layers'!$A$8:$Y$324,16,FALSE)+VLOOKUP(A72,'Change in Proportion Layers'!$A$8:$Y$324,21,FALSE)+VLOOKUP(A72,'Change in Proportion Layers'!$A$8:$Y$324,25,FALSE)</f>
        <v>-8366904</v>
      </c>
      <c r="R72" s="64">
        <f>+L72+VLOOKUP(A72,'Change in Proportion Layers'!$A$8:$Y$324,4,FALSE)+VLOOKUP(A72,'Change in Proportion Layers'!$A$8:$Y$324,11,FALSE)+VLOOKUP(A72,'Change in Proportion Layers'!$A$8:$Y$324,17,FALSE)+VLOOKUP(A72,'Change in Proportion Layers'!$A$8:$Y$324,22,FALSE)</f>
        <v>-6893592</v>
      </c>
      <c r="S72" s="64">
        <f>+M72+VLOOKUP(A72,'Change in Proportion Layers'!$A$8:$Y$324,5,FALSE)+VLOOKUP(A72,'Change in Proportion Layers'!$A$8:$Y$324,12,FALSE)+VLOOKUP(A72,'Change in Proportion Layers'!$A$8:$Y$324,18,FALSE)</f>
        <v>-4606074</v>
      </c>
      <c r="T72" s="64">
        <f>+N72+VLOOKUP(A72,'Change in Proportion Layers'!$A$8:$Y$324,6,FALSE)+VLOOKUP(A72,'Change in Proportion Layers'!$A$8:$Y$324,13,FALSE)</f>
        <v>-5239505</v>
      </c>
      <c r="U72" s="64">
        <f>+O72+VLOOKUP(A72,'Change in Proportion Layers'!$A$8:$Y$324,7,FALSE)-1</f>
        <v>-2473521</v>
      </c>
      <c r="W72" s="64">
        <f>('OPEB Amounts_Report'!H71-'OPEB Amounts_Report'!M71)</f>
        <v>-7901078</v>
      </c>
      <c r="X72" s="129">
        <f>SUM(Q72:U72)-('OPEB Amounts_Report'!H72-'OPEB Amounts_Report'!M72)</f>
        <v>0</v>
      </c>
    </row>
    <row r="73" spans="1:24">
      <c r="A73" s="187">
        <v>2710</v>
      </c>
      <c r="B73" s="188" t="s">
        <v>62</v>
      </c>
      <c r="C73" s="5">
        <f t="shared" si="1"/>
        <v>-214952</v>
      </c>
      <c r="D73" s="5">
        <f t="shared" si="1"/>
        <v>-182643</v>
      </c>
      <c r="E73" s="5">
        <f t="shared" si="1"/>
        <v>-132639</v>
      </c>
      <c r="F73" s="5">
        <f t="shared" si="1"/>
        <v>-111192</v>
      </c>
      <c r="G73" s="5">
        <f t="shared" si="1"/>
        <v>-54712</v>
      </c>
      <c r="I73" s="186"/>
      <c r="K73" s="64">
        <f>ROUND(VLOOKUP($A73,'Contribution Allocation_Report'!$A$9:$D$311,4,FALSE)*$K$326,0)</f>
        <v>-102553</v>
      </c>
      <c r="L73" s="64">
        <f>ROUND(VLOOKUP($A73,'Contribution Allocation_Report'!$A$9:$D$311,4,FALSE)*$L$326,0)</f>
        <v>-74521</v>
      </c>
      <c r="M73" s="64">
        <f>ROUND(VLOOKUP($A73,'Contribution Allocation_Report'!$A$9:$D$311,4,FALSE)*$M$326,0)</f>
        <v>-44971</v>
      </c>
      <c r="N73" s="64">
        <f>ROUND(VLOOKUP($A73,'Contribution Allocation_Report'!$A$9:$D$311,4,FALSE)*$N$326,0)</f>
        <v>-67801</v>
      </c>
      <c r="O73" s="64">
        <f>ROUND(VLOOKUP($A73,'Contribution Allocation_Report'!$A$9:$D$311,4,FALSE)*$O$326,0)</f>
        <v>-38624</v>
      </c>
      <c r="Q73" s="64">
        <f>+K73+VLOOKUP(A73,'Change in Proportion Layers'!$A$8:$N$324,3,FALSE)+VLOOKUP(A73,'Change in Proportion Layers'!$A$8:$Y$324,10,FALSE)+VLOOKUP(A73,'Change in Proportion Layers'!$A$8:$Y$324,16,FALSE)+VLOOKUP(A73,'Change in Proportion Layers'!$A$8:$Y$324,21,FALSE)+VLOOKUP(A73,'Change in Proportion Layers'!$A$8:$Y$324,25,FALSE)</f>
        <v>-214952</v>
      </c>
      <c r="R73" s="64">
        <f>+L73+VLOOKUP(A73,'Change in Proportion Layers'!$A$8:$Y$324,4,FALSE)+VLOOKUP(A73,'Change in Proportion Layers'!$A$8:$Y$324,11,FALSE)+VLOOKUP(A73,'Change in Proportion Layers'!$A$8:$Y$324,17,FALSE)+VLOOKUP(A73,'Change in Proportion Layers'!$A$8:$Y$324,22,FALSE)</f>
        <v>-182643</v>
      </c>
      <c r="S73" s="64">
        <f>+M73+VLOOKUP(A73,'Change in Proportion Layers'!$A$8:$Y$324,5,FALSE)+VLOOKUP(A73,'Change in Proportion Layers'!$A$8:$Y$324,12,FALSE)+VLOOKUP(A73,'Change in Proportion Layers'!$A$8:$Y$324,18,FALSE)</f>
        <v>-132639</v>
      </c>
      <c r="T73" s="64">
        <f>+N73+VLOOKUP(A73,'Change in Proportion Layers'!$A$8:$Y$324,6,FALSE)+VLOOKUP(A73,'Change in Proportion Layers'!$A$8:$Y$324,13,FALSE)</f>
        <v>-111192</v>
      </c>
      <c r="U73" s="64">
        <f>+O73+VLOOKUP(A73,'Change in Proportion Layers'!$A$8:$Y$324,7,FALSE)</f>
        <v>-54712</v>
      </c>
      <c r="W73" s="64">
        <f>('OPEB Amounts_Report'!H72-'OPEB Amounts_Report'!M72)</f>
        <v>-27579596</v>
      </c>
      <c r="X73" s="129">
        <f>SUM(Q73:U73)-('OPEB Amounts_Report'!H73-'OPEB Amounts_Report'!M73)</f>
        <v>0</v>
      </c>
    </row>
    <row r="74" spans="1:24">
      <c r="A74" s="184">
        <v>2730</v>
      </c>
      <c r="B74" s="185" t="s">
        <v>63</v>
      </c>
      <c r="C74" s="63">
        <f t="shared" si="1"/>
        <v>-567672</v>
      </c>
      <c r="D74" s="63">
        <f t="shared" si="1"/>
        <v>-405202</v>
      </c>
      <c r="E74" s="63">
        <f t="shared" si="1"/>
        <v>-228795</v>
      </c>
      <c r="F74" s="63">
        <f t="shared" si="1"/>
        <v>-282944</v>
      </c>
      <c r="G74" s="63">
        <f t="shared" si="1"/>
        <v>-171427</v>
      </c>
      <c r="I74" s="186"/>
      <c r="K74" s="64">
        <f>ROUND(VLOOKUP($A74,'Contribution Allocation_Report'!$A$9:$D$311,4,FALSE)*$K$326,0)</f>
        <v>-473662</v>
      </c>
      <c r="L74" s="64">
        <f>ROUND(VLOOKUP($A74,'Contribution Allocation_Report'!$A$9:$D$311,4,FALSE)*$L$326,0)</f>
        <v>-344189</v>
      </c>
      <c r="M74" s="64">
        <f>ROUND(VLOOKUP($A74,'Contribution Allocation_Report'!$A$9:$D$311,4,FALSE)*$M$326,0)</f>
        <v>-207706</v>
      </c>
      <c r="N74" s="64">
        <f>ROUND(VLOOKUP($A74,'Contribution Allocation_Report'!$A$9:$D$311,4,FALSE)*$N$326,0)</f>
        <v>-313153</v>
      </c>
      <c r="O74" s="64">
        <f>ROUND(VLOOKUP($A74,'Contribution Allocation_Report'!$A$9:$D$311,4,FALSE)*$O$326,0)</f>
        <v>-178393</v>
      </c>
      <c r="Q74" s="64">
        <f>+K74+VLOOKUP(A74,'Change in Proportion Layers'!$A$8:$N$324,3,FALSE)+VLOOKUP(A74,'Change in Proportion Layers'!$A$8:$Y$324,10,FALSE)+VLOOKUP(A74,'Change in Proportion Layers'!$A$8:$Y$324,16,FALSE)+VLOOKUP(A74,'Change in Proportion Layers'!$A$8:$Y$324,21,FALSE)+VLOOKUP(A74,'Change in Proportion Layers'!$A$8:$Y$324,25,FALSE)</f>
        <v>-567672</v>
      </c>
      <c r="R74" s="64">
        <f>+L74+VLOOKUP(A74,'Change in Proportion Layers'!$A$8:$Y$324,4,FALSE)+VLOOKUP(A74,'Change in Proportion Layers'!$A$8:$Y$324,11,FALSE)+VLOOKUP(A74,'Change in Proportion Layers'!$A$8:$Y$324,17,FALSE)+VLOOKUP(A74,'Change in Proportion Layers'!$A$8:$Y$324,22,FALSE)</f>
        <v>-405202</v>
      </c>
      <c r="S74" s="64">
        <f>+M74+VLOOKUP(A74,'Change in Proportion Layers'!$A$8:$Y$324,5,FALSE)+VLOOKUP(A74,'Change in Proportion Layers'!$A$8:$Y$324,12,FALSE)+VLOOKUP(A74,'Change in Proportion Layers'!$A$8:$Y$324,18,FALSE)</f>
        <v>-228795</v>
      </c>
      <c r="T74" s="64">
        <f>+N74+VLOOKUP(A74,'Change in Proportion Layers'!$A$8:$Y$324,6,FALSE)+VLOOKUP(A74,'Change in Proportion Layers'!$A$8:$Y$324,13,FALSE)</f>
        <v>-282944</v>
      </c>
      <c r="U74" s="64">
        <f>+O74+VLOOKUP(A74,'Change in Proportion Layers'!$A$8:$Y$324,7,FALSE)-1</f>
        <v>-171427</v>
      </c>
      <c r="W74" s="64">
        <f>('OPEB Amounts_Report'!H73-'OPEB Amounts_Report'!M73)</f>
        <v>-696138</v>
      </c>
      <c r="X74" s="129">
        <f>SUM(Q74:U74)-('OPEB Amounts_Report'!H74-'OPEB Amounts_Report'!M74)</f>
        <v>0</v>
      </c>
    </row>
    <row r="75" spans="1:24">
      <c r="A75" s="187">
        <v>2950</v>
      </c>
      <c r="B75" s="188" t="s">
        <v>64</v>
      </c>
      <c r="C75" s="5">
        <f t="shared" si="1"/>
        <v>-320631</v>
      </c>
      <c r="D75" s="5">
        <f t="shared" si="1"/>
        <v>-330684</v>
      </c>
      <c r="E75" s="5">
        <f t="shared" si="1"/>
        <v>-230973</v>
      </c>
      <c r="F75" s="5">
        <f t="shared" si="1"/>
        <v>-243228</v>
      </c>
      <c r="G75" s="5">
        <f t="shared" si="1"/>
        <v>-157446</v>
      </c>
      <c r="I75" s="186"/>
      <c r="K75" s="64">
        <f>ROUND(VLOOKUP($A75,'Contribution Allocation_Report'!$A$9:$D$311,4,FALSE)*$K$326,0)</f>
        <v>-389436</v>
      </c>
      <c r="L75" s="64">
        <f>ROUND(VLOOKUP($A75,'Contribution Allocation_Report'!$A$9:$D$311,4,FALSE)*$L$326,0)</f>
        <v>-282986</v>
      </c>
      <c r="M75" s="64">
        <f>ROUND(VLOOKUP($A75,'Contribution Allocation_Report'!$A$9:$D$311,4,FALSE)*$M$326,0)</f>
        <v>-170772</v>
      </c>
      <c r="N75" s="64">
        <f>ROUND(VLOOKUP($A75,'Contribution Allocation_Report'!$A$9:$D$311,4,FALSE)*$N$326,0)</f>
        <v>-257468</v>
      </c>
      <c r="O75" s="64">
        <f>ROUND(VLOOKUP($A75,'Contribution Allocation_Report'!$A$9:$D$311,4,FALSE)*$O$326,0)</f>
        <v>-146672</v>
      </c>
      <c r="Q75" s="64">
        <f>+K75+VLOOKUP(A75,'Change in Proportion Layers'!$A$8:$N$324,3,FALSE)+VLOOKUP(A75,'Change in Proportion Layers'!$A$8:$Y$324,10,FALSE)+VLOOKUP(A75,'Change in Proportion Layers'!$A$8:$Y$324,16,FALSE)+VLOOKUP(A75,'Change in Proportion Layers'!$A$8:$Y$324,21,FALSE)+VLOOKUP(A75,'Change in Proportion Layers'!$A$8:$Y$324,25,FALSE)</f>
        <v>-320631</v>
      </c>
      <c r="R75" s="64">
        <f>+L75+VLOOKUP(A75,'Change in Proportion Layers'!$A$8:$Y$324,4,FALSE)+VLOOKUP(A75,'Change in Proportion Layers'!$A$8:$Y$324,11,FALSE)+VLOOKUP(A75,'Change in Proportion Layers'!$A$8:$Y$324,17,FALSE)+VLOOKUP(A75,'Change in Proportion Layers'!$A$8:$Y$324,22,FALSE)</f>
        <v>-330684</v>
      </c>
      <c r="S75" s="64">
        <f>+M75+VLOOKUP(A75,'Change in Proportion Layers'!$A$8:$Y$324,5,FALSE)+VLOOKUP(A75,'Change in Proportion Layers'!$A$8:$Y$324,12,FALSE)+VLOOKUP(A75,'Change in Proportion Layers'!$A$8:$Y$324,18,FALSE)</f>
        <v>-230973</v>
      </c>
      <c r="T75" s="64">
        <f>+N75+VLOOKUP(A75,'Change in Proportion Layers'!$A$8:$Y$324,6,FALSE)+VLOOKUP(A75,'Change in Proportion Layers'!$A$8:$Y$324,13,FALSE)</f>
        <v>-243228</v>
      </c>
      <c r="U75" s="64">
        <f>+O75+VLOOKUP(A75,'Change in Proportion Layers'!$A$8:$Y$324,7,FALSE)+1</f>
        <v>-157446</v>
      </c>
      <c r="W75" s="64">
        <f>('OPEB Amounts_Report'!H74-'OPEB Amounts_Report'!M74)</f>
        <v>-1656040</v>
      </c>
      <c r="X75" s="129">
        <f>SUM(Q75:U75)-('OPEB Amounts_Report'!H75-'OPEB Amounts_Report'!M75)</f>
        <v>0</v>
      </c>
    </row>
    <row r="76" spans="1:24">
      <c r="A76" s="184">
        <v>2760</v>
      </c>
      <c r="B76" s="185" t="s">
        <v>65</v>
      </c>
      <c r="C76" s="63">
        <f t="shared" si="1"/>
        <v>-383024</v>
      </c>
      <c r="D76" s="63">
        <f t="shared" si="1"/>
        <v>-278463</v>
      </c>
      <c r="E76" s="63">
        <f t="shared" si="1"/>
        <v>-146151</v>
      </c>
      <c r="F76" s="63">
        <f t="shared" si="1"/>
        <v>-232220</v>
      </c>
      <c r="G76" s="63">
        <f t="shared" si="1"/>
        <v>-172940</v>
      </c>
      <c r="I76" s="186"/>
      <c r="K76" s="64">
        <f>ROUND(VLOOKUP($A76,'Contribution Allocation_Report'!$A$9:$D$311,4,FALSE)*$K$326,0)</f>
        <v>-348102</v>
      </c>
      <c r="L76" s="64">
        <f>ROUND(VLOOKUP($A76,'Contribution Allocation_Report'!$A$9:$D$311,4,FALSE)*$L$326,0)</f>
        <v>-252951</v>
      </c>
      <c r="M76" s="64">
        <f>ROUND(VLOOKUP($A76,'Contribution Allocation_Report'!$A$9:$D$311,4,FALSE)*$M$326,0)</f>
        <v>-152647</v>
      </c>
      <c r="N76" s="64">
        <f>ROUND(VLOOKUP($A76,'Contribution Allocation_Report'!$A$9:$D$311,4,FALSE)*$N$326,0)</f>
        <v>-230141</v>
      </c>
      <c r="O76" s="64">
        <f>ROUND(VLOOKUP($A76,'Contribution Allocation_Report'!$A$9:$D$311,4,FALSE)*$O$326,0)</f>
        <v>-131104</v>
      </c>
      <c r="Q76" s="64">
        <f>+K76+VLOOKUP(A76,'Change in Proportion Layers'!$A$8:$N$324,3,FALSE)+VLOOKUP(A76,'Change in Proportion Layers'!$A$8:$Y$324,10,FALSE)+VLOOKUP(A76,'Change in Proportion Layers'!$A$8:$Y$324,16,FALSE)+VLOOKUP(A76,'Change in Proportion Layers'!$A$8:$Y$324,21,FALSE)+VLOOKUP(A76,'Change in Proportion Layers'!$A$8:$Y$324,25,FALSE)</f>
        <v>-383024</v>
      </c>
      <c r="R76" s="64">
        <f>+L76+VLOOKUP(A76,'Change in Proportion Layers'!$A$8:$Y$324,4,FALSE)+VLOOKUP(A76,'Change in Proportion Layers'!$A$8:$Y$324,11,FALSE)+VLOOKUP(A76,'Change in Proportion Layers'!$A$8:$Y$324,17,FALSE)+VLOOKUP(A76,'Change in Proportion Layers'!$A$8:$Y$324,22,FALSE)</f>
        <v>-278463</v>
      </c>
      <c r="S76" s="64">
        <f>+M76+VLOOKUP(A76,'Change in Proportion Layers'!$A$8:$Y$324,5,FALSE)+VLOOKUP(A76,'Change in Proportion Layers'!$A$8:$Y$324,12,FALSE)+VLOOKUP(A76,'Change in Proportion Layers'!$A$8:$Y$324,18,FALSE)</f>
        <v>-146151</v>
      </c>
      <c r="T76" s="64">
        <f>+N76+VLOOKUP(A76,'Change in Proportion Layers'!$A$8:$Y$324,6,FALSE)+VLOOKUP(A76,'Change in Proportion Layers'!$A$8:$Y$324,13,FALSE)</f>
        <v>-232220</v>
      </c>
      <c r="U76" s="64">
        <f>+O76+VLOOKUP(A76,'Change in Proportion Layers'!$A$8:$Y$324,7,FALSE)-2</f>
        <v>-172940</v>
      </c>
      <c r="W76" s="64">
        <f>('OPEB Amounts_Report'!H75-'OPEB Amounts_Report'!M75)</f>
        <v>-1282962</v>
      </c>
      <c r="X76" s="129">
        <f>SUM(Q76:U76)-('OPEB Amounts_Report'!H76-'OPEB Amounts_Report'!M76)</f>
        <v>0</v>
      </c>
    </row>
    <row r="77" spans="1:24">
      <c r="A77" s="187">
        <v>2780</v>
      </c>
      <c r="B77" s="188" t="s">
        <v>66</v>
      </c>
      <c r="C77" s="5">
        <f t="shared" si="1"/>
        <v>-37570</v>
      </c>
      <c r="D77" s="5">
        <f t="shared" si="1"/>
        <v>-32697</v>
      </c>
      <c r="E77" s="5">
        <f t="shared" si="1"/>
        <v>-28569</v>
      </c>
      <c r="F77" s="5">
        <f t="shared" si="1"/>
        <v>-25532</v>
      </c>
      <c r="G77" s="5">
        <f t="shared" si="1"/>
        <v>-19260</v>
      </c>
      <c r="I77" s="186"/>
      <c r="K77" s="64">
        <f>ROUND(VLOOKUP($A77,'Contribution Allocation_Report'!$A$9:$D$311,4,FALSE)*$K$326,0)</f>
        <v>-27672</v>
      </c>
      <c r="L77" s="64">
        <f>ROUND(VLOOKUP($A77,'Contribution Allocation_Report'!$A$9:$D$311,4,FALSE)*$L$326,0)</f>
        <v>-20108</v>
      </c>
      <c r="M77" s="64">
        <f>ROUND(VLOOKUP($A77,'Contribution Allocation_Report'!$A$9:$D$311,4,FALSE)*$M$326,0)</f>
        <v>-12134</v>
      </c>
      <c r="N77" s="64">
        <f>ROUND(VLOOKUP($A77,'Contribution Allocation_Report'!$A$9:$D$311,4,FALSE)*$N$326,0)</f>
        <v>-18295</v>
      </c>
      <c r="O77" s="64">
        <f>ROUND(VLOOKUP($A77,'Contribution Allocation_Report'!$A$9:$D$311,4,FALSE)*$O$326,0)</f>
        <v>-10422</v>
      </c>
      <c r="Q77" s="64">
        <f>+K77+VLOOKUP(A77,'Change in Proportion Layers'!$A$8:$N$324,3,FALSE)+VLOOKUP(A77,'Change in Proportion Layers'!$A$8:$Y$324,10,FALSE)+VLOOKUP(A77,'Change in Proportion Layers'!$A$8:$Y$324,16,FALSE)+VLOOKUP(A77,'Change in Proportion Layers'!$A$8:$Y$324,21,FALSE)+VLOOKUP(A77,'Change in Proportion Layers'!$A$8:$Y$324,25,FALSE)</f>
        <v>-37570</v>
      </c>
      <c r="R77" s="64">
        <f>+L77+VLOOKUP(A77,'Change in Proportion Layers'!$A$8:$Y$324,4,FALSE)+VLOOKUP(A77,'Change in Proportion Layers'!$A$8:$Y$324,11,FALSE)+VLOOKUP(A77,'Change in Proportion Layers'!$A$8:$Y$324,17,FALSE)+VLOOKUP(A77,'Change in Proportion Layers'!$A$8:$Y$324,22,FALSE)</f>
        <v>-32697</v>
      </c>
      <c r="S77" s="64">
        <f>+M77+VLOOKUP(A77,'Change in Proportion Layers'!$A$8:$Y$324,5,FALSE)+VLOOKUP(A77,'Change in Proportion Layers'!$A$8:$Y$324,12,FALSE)+VLOOKUP(A77,'Change in Proportion Layers'!$A$8:$Y$324,18,FALSE)</f>
        <v>-28569</v>
      </c>
      <c r="T77" s="64">
        <f>+N77+VLOOKUP(A77,'Change in Proportion Layers'!$A$8:$Y$324,6,FALSE)+VLOOKUP(A77,'Change in Proportion Layers'!$A$8:$Y$324,13,FALSE)</f>
        <v>-25532</v>
      </c>
      <c r="U77" s="64">
        <f>+O77+VLOOKUP(A77,'Change in Proportion Layers'!$A$8:$Y$324,7,FALSE)+1</f>
        <v>-19260</v>
      </c>
      <c r="W77" s="64">
        <f>('OPEB Amounts_Report'!H76-'OPEB Amounts_Report'!M76)</f>
        <v>-1212798</v>
      </c>
      <c r="X77" s="129">
        <f>SUM(Q77:U77)-('OPEB Amounts_Report'!H77-'OPEB Amounts_Report'!M77)</f>
        <v>0</v>
      </c>
    </row>
    <row r="78" spans="1:24">
      <c r="A78" s="184">
        <v>2810</v>
      </c>
      <c r="B78" s="185" t="s">
        <v>67</v>
      </c>
      <c r="C78" s="63">
        <f t="shared" si="1"/>
        <v>-483443</v>
      </c>
      <c r="D78" s="63">
        <f t="shared" si="1"/>
        <v>-466661</v>
      </c>
      <c r="E78" s="63">
        <f t="shared" si="1"/>
        <v>-305228</v>
      </c>
      <c r="F78" s="63">
        <f t="shared" si="1"/>
        <v>-317244</v>
      </c>
      <c r="G78" s="63">
        <f t="shared" si="1"/>
        <v>-113942</v>
      </c>
      <c r="I78" s="186"/>
      <c r="K78" s="64">
        <f>ROUND(VLOOKUP($A78,'Contribution Allocation_Report'!$A$9:$D$311,4,FALSE)*$K$326,0)</f>
        <v>-252174</v>
      </c>
      <c r="L78" s="64">
        <f>ROUND(VLOOKUP($A78,'Contribution Allocation_Report'!$A$9:$D$311,4,FALSE)*$L$326,0)</f>
        <v>-183244</v>
      </c>
      <c r="M78" s="64">
        <f>ROUND(VLOOKUP($A78,'Contribution Allocation_Report'!$A$9:$D$311,4,FALSE)*$M$326,0)</f>
        <v>-110581</v>
      </c>
      <c r="N78" s="64">
        <f>ROUND(VLOOKUP($A78,'Contribution Allocation_Report'!$A$9:$D$311,4,FALSE)*$N$326,0)</f>
        <v>-166720</v>
      </c>
      <c r="O78" s="64">
        <f>ROUND(VLOOKUP($A78,'Contribution Allocation_Report'!$A$9:$D$311,4,FALSE)*$O$326,0)</f>
        <v>-94975</v>
      </c>
      <c r="Q78" s="64">
        <f>+K78+VLOOKUP(A78,'Change in Proportion Layers'!$A$8:$N$324,3,FALSE)+VLOOKUP(A78,'Change in Proportion Layers'!$A$8:$Y$324,10,FALSE)+VLOOKUP(A78,'Change in Proportion Layers'!$A$8:$Y$324,16,FALSE)+VLOOKUP(A78,'Change in Proportion Layers'!$A$8:$Y$324,21,FALSE)+VLOOKUP(A78,'Change in Proportion Layers'!$A$8:$Y$324,25,FALSE)</f>
        <v>-483443</v>
      </c>
      <c r="R78" s="64">
        <f>+L78+VLOOKUP(A78,'Change in Proportion Layers'!$A$8:$Y$324,4,FALSE)+VLOOKUP(A78,'Change in Proportion Layers'!$A$8:$Y$324,11,FALSE)+VLOOKUP(A78,'Change in Proportion Layers'!$A$8:$Y$324,17,FALSE)+VLOOKUP(A78,'Change in Proportion Layers'!$A$8:$Y$324,22,FALSE)</f>
        <v>-466661</v>
      </c>
      <c r="S78" s="64">
        <f>+M78+VLOOKUP(A78,'Change in Proportion Layers'!$A$8:$Y$324,5,FALSE)+VLOOKUP(A78,'Change in Proportion Layers'!$A$8:$Y$324,12,FALSE)+VLOOKUP(A78,'Change in Proportion Layers'!$A$8:$Y$324,18,FALSE)</f>
        <v>-305228</v>
      </c>
      <c r="T78" s="64">
        <f>+N78+VLOOKUP(A78,'Change in Proportion Layers'!$A$8:$Y$324,6,FALSE)+VLOOKUP(A78,'Change in Proportion Layers'!$A$8:$Y$324,13,FALSE)</f>
        <v>-317244</v>
      </c>
      <c r="U78" s="64">
        <f>+O78+VLOOKUP(A78,'Change in Proportion Layers'!$A$8:$Y$324,7,FALSE)-1</f>
        <v>-113942</v>
      </c>
      <c r="W78" s="64">
        <f>('OPEB Amounts_Report'!H77-'OPEB Amounts_Report'!M77)</f>
        <v>-143628</v>
      </c>
      <c r="X78" s="129">
        <f>SUM(Q78:U78)-('OPEB Amounts_Report'!H78-'OPEB Amounts_Report'!M78)</f>
        <v>0</v>
      </c>
    </row>
    <row r="79" spans="1:24">
      <c r="A79" s="187">
        <v>18056</v>
      </c>
      <c r="B79" s="188" t="s">
        <v>68</v>
      </c>
      <c r="C79" s="5">
        <f t="shared" si="1"/>
        <v>-256677</v>
      </c>
      <c r="D79" s="5">
        <f t="shared" si="1"/>
        <v>-273715</v>
      </c>
      <c r="E79" s="5">
        <f t="shared" si="1"/>
        <v>-150119</v>
      </c>
      <c r="F79" s="5">
        <f t="shared" si="1"/>
        <v>-273750</v>
      </c>
      <c r="G79" s="5">
        <f t="shared" si="1"/>
        <v>-121976</v>
      </c>
      <c r="I79" s="186"/>
      <c r="K79" s="64">
        <f>ROUND(VLOOKUP($A79,'Contribution Allocation_Report'!$A$9:$D$311,4,FALSE)*$K$326,0)</f>
        <v>-311981</v>
      </c>
      <c r="L79" s="64">
        <f>ROUND(VLOOKUP($A79,'Contribution Allocation_Report'!$A$9:$D$311,4,FALSE)*$L$326,0)</f>
        <v>-226703</v>
      </c>
      <c r="M79" s="64">
        <f>ROUND(VLOOKUP($A79,'Contribution Allocation_Report'!$A$9:$D$311,4,FALSE)*$M$326,0)</f>
        <v>-136807</v>
      </c>
      <c r="N79" s="64">
        <f>ROUND(VLOOKUP($A79,'Contribution Allocation_Report'!$A$9:$D$311,4,FALSE)*$N$326,0)</f>
        <v>-206260</v>
      </c>
      <c r="O79" s="64">
        <f>ROUND(VLOOKUP($A79,'Contribution Allocation_Report'!$A$9:$D$311,4,FALSE)*$O$326,0)</f>
        <v>-117500</v>
      </c>
      <c r="Q79" s="64">
        <f>+K79+VLOOKUP(A79,'Change in Proportion Layers'!$A$8:$N$324,3,FALSE)+VLOOKUP(A79,'Change in Proportion Layers'!$A$8:$Y$324,10,FALSE)+VLOOKUP(A79,'Change in Proportion Layers'!$A$8:$Y$324,16,FALSE)+VLOOKUP(A79,'Change in Proportion Layers'!$A$8:$Y$324,21,FALSE)+VLOOKUP(A79,'Change in Proportion Layers'!$A$8:$Y$324,25,FALSE)</f>
        <v>-256677</v>
      </c>
      <c r="R79" s="64">
        <f>+L79+VLOOKUP(A79,'Change in Proportion Layers'!$A$8:$Y$324,4,FALSE)+VLOOKUP(A79,'Change in Proportion Layers'!$A$8:$Y$324,11,FALSE)+VLOOKUP(A79,'Change in Proportion Layers'!$A$8:$Y$324,17,FALSE)+VLOOKUP(A79,'Change in Proportion Layers'!$A$8:$Y$324,22,FALSE)</f>
        <v>-273715</v>
      </c>
      <c r="S79" s="64">
        <f>+M79+VLOOKUP(A79,'Change in Proportion Layers'!$A$8:$Y$324,5,FALSE)+VLOOKUP(A79,'Change in Proportion Layers'!$A$8:$Y$324,12,FALSE)+VLOOKUP(A79,'Change in Proportion Layers'!$A$8:$Y$324,18,FALSE)</f>
        <v>-150119</v>
      </c>
      <c r="T79" s="64">
        <f>+N79+VLOOKUP(A79,'Change in Proportion Layers'!$A$8:$Y$324,6,FALSE)+VLOOKUP(A79,'Change in Proportion Layers'!$A$8:$Y$324,13,FALSE)</f>
        <v>-273750</v>
      </c>
      <c r="U79" s="64">
        <f>+O79+VLOOKUP(A79,'Change in Proportion Layers'!$A$8:$Y$324,7,FALSE)+1</f>
        <v>-121976</v>
      </c>
      <c r="W79" s="64">
        <f>('OPEB Amounts_Report'!H78-'OPEB Amounts_Report'!M78)</f>
        <v>-1686518</v>
      </c>
      <c r="X79" s="129">
        <f>SUM(Q79:U79)-('OPEB Amounts_Report'!H79-'OPEB Amounts_Report'!M79)</f>
        <v>0</v>
      </c>
    </row>
    <row r="80" spans="1:24">
      <c r="A80" s="184">
        <v>15047</v>
      </c>
      <c r="B80" s="185" t="s">
        <v>69</v>
      </c>
      <c r="C80" s="63">
        <f t="shared" si="1"/>
        <v>-191473</v>
      </c>
      <c r="D80" s="63">
        <f t="shared" si="1"/>
        <v>-100634</v>
      </c>
      <c r="E80" s="63">
        <f t="shared" si="1"/>
        <v>10920</v>
      </c>
      <c r="F80" s="63">
        <f t="shared" si="1"/>
        <v>-119132</v>
      </c>
      <c r="G80" s="63">
        <f t="shared" si="1"/>
        <v>-75025</v>
      </c>
      <c r="I80" s="186"/>
      <c r="K80" s="64">
        <f>ROUND(VLOOKUP($A80,'Contribution Allocation_Report'!$A$9:$D$311,4,FALSE)*$K$326,0)</f>
        <v>-318853</v>
      </c>
      <c r="L80" s="64">
        <f>ROUND(VLOOKUP($A80,'Contribution Allocation_Report'!$A$9:$D$311,4,FALSE)*$L$326,0)</f>
        <v>-231696</v>
      </c>
      <c r="M80" s="64">
        <f>ROUND(VLOOKUP($A80,'Contribution Allocation_Report'!$A$9:$D$311,4,FALSE)*$M$326,0)</f>
        <v>-139821</v>
      </c>
      <c r="N80" s="64">
        <f>ROUND(VLOOKUP($A80,'Contribution Allocation_Report'!$A$9:$D$311,4,FALSE)*$N$326,0)</f>
        <v>-210803</v>
      </c>
      <c r="O80" s="64">
        <f>ROUND(VLOOKUP($A80,'Contribution Allocation_Report'!$A$9:$D$311,4,FALSE)*$O$326,0)</f>
        <v>-120088</v>
      </c>
      <c r="Q80" s="64">
        <f>+K80+VLOOKUP(A80,'Change in Proportion Layers'!$A$8:$N$324,3,FALSE)+VLOOKUP(A80,'Change in Proportion Layers'!$A$8:$Y$324,10,FALSE)+VLOOKUP(A80,'Change in Proportion Layers'!$A$8:$Y$324,16,FALSE)+VLOOKUP(A80,'Change in Proportion Layers'!$A$8:$Y$324,21,FALSE)+VLOOKUP(A80,'Change in Proportion Layers'!$A$8:$Y$324,25,FALSE)</f>
        <v>-191473</v>
      </c>
      <c r="R80" s="64">
        <f>+L80+VLOOKUP(A80,'Change in Proportion Layers'!$A$8:$Y$324,4,FALSE)+VLOOKUP(A80,'Change in Proportion Layers'!$A$8:$Y$324,11,FALSE)+VLOOKUP(A80,'Change in Proportion Layers'!$A$8:$Y$324,17,FALSE)+VLOOKUP(A80,'Change in Proportion Layers'!$A$8:$Y$324,22,FALSE)</f>
        <v>-100634</v>
      </c>
      <c r="S80" s="64">
        <f>+M80+VLOOKUP(A80,'Change in Proportion Layers'!$A$8:$Y$324,5,FALSE)+VLOOKUP(A80,'Change in Proportion Layers'!$A$8:$Y$324,12,FALSE)+VLOOKUP(A80,'Change in Proportion Layers'!$A$8:$Y$324,18,FALSE)</f>
        <v>10920</v>
      </c>
      <c r="T80" s="64">
        <f>+N80+VLOOKUP(A80,'Change in Proportion Layers'!$A$8:$Y$324,6,FALSE)+VLOOKUP(A80,'Change in Proportion Layers'!$A$8:$Y$324,13,FALSE)</f>
        <v>-119132</v>
      </c>
      <c r="U80" s="64">
        <f>+O80+VLOOKUP(A80,'Change in Proportion Layers'!$A$8:$Y$324,7,FALSE)</f>
        <v>-75025</v>
      </c>
      <c r="W80" s="64">
        <f>('OPEB Amounts_Report'!H79-'OPEB Amounts_Report'!M79)</f>
        <v>-1076237</v>
      </c>
      <c r="X80" s="129">
        <f>SUM(Q80:U80)-('OPEB Amounts_Report'!H80-'OPEB Amounts_Report'!M80)</f>
        <v>0</v>
      </c>
    </row>
    <row r="81" spans="1:24">
      <c r="A81" s="184">
        <v>5012</v>
      </c>
      <c r="B81" s="185" t="s">
        <v>70</v>
      </c>
      <c r="C81" s="6">
        <f t="shared" si="1"/>
        <v>-4296251</v>
      </c>
      <c r="D81" s="6">
        <f t="shared" si="1"/>
        <v>-3171357</v>
      </c>
      <c r="E81" s="6">
        <f t="shared" si="1"/>
        <v>-1723665</v>
      </c>
      <c r="F81" s="6">
        <f t="shared" si="1"/>
        <v>-2956003</v>
      </c>
      <c r="G81" s="6">
        <f t="shared" si="1"/>
        <v>-1920866</v>
      </c>
      <c r="I81" s="186"/>
      <c r="K81" s="64">
        <f>ROUND(VLOOKUP($A81,'Contribution Allocation_Report'!$A$9:$D$311,4,FALSE)*$K$326,0)</f>
        <v>-4642600</v>
      </c>
      <c r="L81" s="64">
        <f>ROUND(VLOOKUP($A81,'Contribution Allocation_Report'!$A$9:$D$311,4,FALSE)*$L$326,0)</f>
        <v>-3373575</v>
      </c>
      <c r="M81" s="64">
        <f>ROUND(VLOOKUP($A81,'Contribution Allocation_Report'!$A$9:$D$311,4,FALSE)*$M$326,0)</f>
        <v>-2035835</v>
      </c>
      <c r="N81" s="64">
        <f>ROUND(VLOOKUP($A81,'Contribution Allocation_Report'!$A$9:$D$311,4,FALSE)*$N$326,0)</f>
        <v>-3069368</v>
      </c>
      <c r="O81" s="64">
        <f>ROUND(VLOOKUP($A81,'Contribution Allocation_Report'!$A$9:$D$311,4,FALSE)*$O$326,0)</f>
        <v>-1748525</v>
      </c>
      <c r="Q81" s="64">
        <f>+K81+VLOOKUP(A81,'Change in Proportion Layers'!$A$8:$N$324,3,FALSE)+VLOOKUP(A81,'Change in Proportion Layers'!$A$8:$Y$324,10,FALSE)+VLOOKUP(A81,'Change in Proportion Layers'!$A$8:$Y$324,16,FALSE)+VLOOKUP(A81,'Change in Proportion Layers'!$A$8:$Y$324,21,FALSE)+VLOOKUP(A81,'Change in Proportion Layers'!$A$8:$Y$324,25,FALSE)</f>
        <v>-4296251</v>
      </c>
      <c r="R81" s="64">
        <f>+L81+VLOOKUP(A81,'Change in Proportion Layers'!$A$8:$Y$324,4,FALSE)+VLOOKUP(A81,'Change in Proportion Layers'!$A$8:$Y$324,11,FALSE)+VLOOKUP(A81,'Change in Proportion Layers'!$A$8:$Y$324,17,FALSE)+VLOOKUP(A81,'Change in Proportion Layers'!$A$8:$Y$324,22,FALSE)</f>
        <v>-3171357</v>
      </c>
      <c r="S81" s="64">
        <f>+M81+VLOOKUP(A81,'Change in Proportion Layers'!$A$8:$Y$324,5,FALSE)+VLOOKUP(A81,'Change in Proportion Layers'!$A$8:$Y$324,12,FALSE)+VLOOKUP(A81,'Change in Proportion Layers'!$A$8:$Y$324,18,FALSE)</f>
        <v>-1723665</v>
      </c>
      <c r="T81" s="64">
        <f>+N81+VLOOKUP(A81,'Change in Proportion Layers'!$A$8:$Y$324,6,FALSE)+VLOOKUP(A81,'Change in Proportion Layers'!$A$8:$Y$324,13,FALSE)</f>
        <v>-2956003</v>
      </c>
      <c r="U81" s="64">
        <f>+O81+VLOOKUP(A81,'Change in Proportion Layers'!$A$8:$Y$324,7,FALSE)-1</f>
        <v>-1920866</v>
      </c>
      <c r="W81" s="64">
        <f>('OPEB Amounts_Report'!H80-'OPEB Amounts_Report'!M80)</f>
        <v>-475344</v>
      </c>
      <c r="X81" s="129">
        <f>SUM(Q81:U81)-('OPEB Amounts_Report'!H81-'OPEB Amounts_Report'!M81)</f>
        <v>0</v>
      </c>
    </row>
    <row r="82" spans="1:24">
      <c r="A82" s="187">
        <v>8024</v>
      </c>
      <c r="B82" s="188" t="s">
        <v>71</v>
      </c>
      <c r="C82" s="5">
        <f t="shared" si="1"/>
        <v>-785802</v>
      </c>
      <c r="D82" s="5">
        <f t="shared" si="1"/>
        <v>-738988</v>
      </c>
      <c r="E82" s="5">
        <f t="shared" si="1"/>
        <v>-706185</v>
      </c>
      <c r="F82" s="5">
        <f t="shared" si="1"/>
        <v>-768702</v>
      </c>
      <c r="G82" s="5">
        <f t="shared" si="1"/>
        <v>-451875</v>
      </c>
      <c r="I82" s="186"/>
      <c r="K82" s="64">
        <f>ROUND(VLOOKUP($A82,'Contribution Allocation_Report'!$A$9:$D$311,4,FALSE)*$K$326,0)</f>
        <v>-938979</v>
      </c>
      <c r="L82" s="64">
        <f>ROUND(VLOOKUP($A82,'Contribution Allocation_Report'!$A$9:$D$311,4,FALSE)*$L$326,0)</f>
        <v>-682315</v>
      </c>
      <c r="M82" s="64">
        <f>ROUND(VLOOKUP($A82,'Contribution Allocation_Report'!$A$9:$D$311,4,FALSE)*$M$326,0)</f>
        <v>-411753</v>
      </c>
      <c r="N82" s="64">
        <f>ROUND(VLOOKUP($A82,'Contribution Allocation_Report'!$A$9:$D$311,4,FALSE)*$N$326,0)</f>
        <v>-620788</v>
      </c>
      <c r="O82" s="64">
        <f>ROUND(VLOOKUP($A82,'Contribution Allocation_Report'!$A$9:$D$311,4,FALSE)*$O$326,0)</f>
        <v>-353644</v>
      </c>
      <c r="Q82" s="64">
        <f>+K82+VLOOKUP(A82,'Change in Proportion Layers'!$A$8:$N$324,3,FALSE)+VLOOKUP(A82,'Change in Proportion Layers'!$A$8:$Y$324,10,FALSE)+VLOOKUP(A82,'Change in Proportion Layers'!$A$8:$Y$324,16,FALSE)+VLOOKUP(A82,'Change in Proportion Layers'!$A$8:$Y$324,21,FALSE)+VLOOKUP(A82,'Change in Proportion Layers'!$A$8:$Y$324,25,FALSE)</f>
        <v>-785802</v>
      </c>
      <c r="R82" s="64">
        <f>+L82+VLOOKUP(A82,'Change in Proportion Layers'!$A$8:$Y$324,4,FALSE)+VLOOKUP(A82,'Change in Proportion Layers'!$A$8:$Y$324,11,FALSE)+VLOOKUP(A82,'Change in Proportion Layers'!$A$8:$Y$324,17,FALSE)+VLOOKUP(A82,'Change in Proportion Layers'!$A$8:$Y$324,22,FALSE)</f>
        <v>-738988</v>
      </c>
      <c r="S82" s="64">
        <f>+M82+VLOOKUP(A82,'Change in Proportion Layers'!$A$8:$Y$324,5,FALSE)+VLOOKUP(A82,'Change in Proportion Layers'!$A$8:$Y$324,12,FALSE)+VLOOKUP(A82,'Change in Proportion Layers'!$A$8:$Y$324,18,FALSE)</f>
        <v>-706185</v>
      </c>
      <c r="T82" s="64">
        <f>+N82+VLOOKUP(A82,'Change in Proportion Layers'!$A$8:$Y$324,6,FALSE)+VLOOKUP(A82,'Change in Proportion Layers'!$A$8:$Y$324,13,FALSE)</f>
        <v>-768702</v>
      </c>
      <c r="U82" s="64">
        <f>+O82+VLOOKUP(A82,'Change in Proportion Layers'!$A$8:$Y$324,7,FALSE)</f>
        <v>-451875</v>
      </c>
      <c r="W82" s="64">
        <f>('OPEB Amounts_Report'!H81-'OPEB Amounts_Report'!M81)</f>
        <v>-14068142</v>
      </c>
      <c r="X82" s="129">
        <f>SUM(Q82:U82)-('OPEB Amounts_Report'!H82-'OPEB Amounts_Report'!M82)</f>
        <v>0</v>
      </c>
    </row>
    <row r="83" spans="1:24">
      <c r="A83" s="184">
        <v>3050</v>
      </c>
      <c r="B83" s="185" t="s">
        <v>72</v>
      </c>
      <c r="C83" s="63">
        <f t="shared" si="1"/>
        <v>-300807</v>
      </c>
      <c r="D83" s="63">
        <f t="shared" si="1"/>
        <v>-224796</v>
      </c>
      <c r="E83" s="63">
        <f t="shared" si="1"/>
        <v>-178990</v>
      </c>
      <c r="F83" s="63">
        <f t="shared" si="1"/>
        <v>-222798</v>
      </c>
      <c r="G83" s="63">
        <f t="shared" si="1"/>
        <v>-140847</v>
      </c>
      <c r="I83" s="186"/>
      <c r="K83" s="64">
        <f>ROUND(VLOOKUP($A83,'Contribution Allocation_Report'!$A$9:$D$311,4,FALSE)*$K$326,0)</f>
        <v>-315251</v>
      </c>
      <c r="L83" s="64">
        <f>ROUND(VLOOKUP($A83,'Contribution Allocation_Report'!$A$9:$D$311,4,FALSE)*$L$326,0)</f>
        <v>-229079</v>
      </c>
      <c r="M83" s="64">
        <f>ROUND(VLOOKUP($A83,'Contribution Allocation_Report'!$A$9:$D$311,4,FALSE)*$M$326,0)</f>
        <v>-138241</v>
      </c>
      <c r="N83" s="64">
        <f>ROUND(VLOOKUP($A83,'Contribution Allocation_Report'!$A$9:$D$311,4,FALSE)*$N$326,0)</f>
        <v>-208423</v>
      </c>
      <c r="O83" s="64">
        <f>ROUND(VLOOKUP($A83,'Contribution Allocation_Report'!$A$9:$D$311,4,FALSE)*$O$326,0)</f>
        <v>-118732</v>
      </c>
      <c r="Q83" s="64">
        <f>+K83+VLOOKUP(A83,'Change in Proportion Layers'!$A$8:$N$324,3,FALSE)+VLOOKUP(A83,'Change in Proportion Layers'!$A$8:$Y$324,10,FALSE)+VLOOKUP(A83,'Change in Proportion Layers'!$A$8:$Y$324,16,FALSE)+VLOOKUP(A83,'Change in Proportion Layers'!$A$8:$Y$324,21,FALSE)+VLOOKUP(A83,'Change in Proportion Layers'!$A$8:$Y$324,25,FALSE)</f>
        <v>-300807</v>
      </c>
      <c r="R83" s="64">
        <f>+L83+VLOOKUP(A83,'Change in Proportion Layers'!$A$8:$Y$324,4,FALSE)+VLOOKUP(A83,'Change in Proportion Layers'!$A$8:$Y$324,11,FALSE)+VLOOKUP(A83,'Change in Proportion Layers'!$A$8:$Y$324,17,FALSE)+VLOOKUP(A83,'Change in Proportion Layers'!$A$8:$Y$324,22,FALSE)</f>
        <v>-224796</v>
      </c>
      <c r="S83" s="64">
        <f>+M83+VLOOKUP(A83,'Change in Proportion Layers'!$A$8:$Y$324,5,FALSE)+VLOOKUP(A83,'Change in Proportion Layers'!$A$8:$Y$324,12,FALSE)+VLOOKUP(A83,'Change in Proportion Layers'!$A$8:$Y$324,18,FALSE)</f>
        <v>-178990</v>
      </c>
      <c r="T83" s="64">
        <f>+N83+VLOOKUP(A83,'Change in Proportion Layers'!$A$8:$Y$324,6,FALSE)+VLOOKUP(A83,'Change in Proportion Layers'!$A$8:$Y$324,13,FALSE)</f>
        <v>-222798</v>
      </c>
      <c r="U83" s="64">
        <f>+O83+VLOOKUP(A83,'Change in Proportion Layers'!$A$8:$Y$324,7,FALSE)</f>
        <v>-140847</v>
      </c>
      <c r="W83" s="64">
        <f>('OPEB Amounts_Report'!H82-'OPEB Amounts_Report'!M82)</f>
        <v>-3451552</v>
      </c>
      <c r="X83" s="129">
        <f>SUM(Q83:U83)-('OPEB Amounts_Report'!H83-'OPEB Amounts_Report'!M83)</f>
        <v>0</v>
      </c>
    </row>
    <row r="84" spans="1:24">
      <c r="A84" s="187">
        <v>2421</v>
      </c>
      <c r="B84" s="188" t="s">
        <v>73</v>
      </c>
      <c r="C84" s="5">
        <f t="shared" si="1"/>
        <v>-127826</v>
      </c>
      <c r="D84" s="5">
        <f t="shared" si="1"/>
        <v>-72369</v>
      </c>
      <c r="E84" s="5">
        <f t="shared" si="1"/>
        <v>-29292</v>
      </c>
      <c r="F84" s="5">
        <f t="shared" si="1"/>
        <v>-52416</v>
      </c>
      <c r="G84" s="5">
        <f t="shared" si="1"/>
        <v>-21917</v>
      </c>
      <c r="I84" s="186"/>
      <c r="K84" s="64">
        <f>ROUND(VLOOKUP($A84,'Contribution Allocation_Report'!$A$9:$D$311,4,FALSE)*$K$326,0)</f>
        <v>-141148</v>
      </c>
      <c r="L84" s="64">
        <f>ROUND(VLOOKUP($A84,'Contribution Allocation_Report'!$A$9:$D$311,4,FALSE)*$L$326,0)</f>
        <v>-102566</v>
      </c>
      <c r="M84" s="64">
        <f>ROUND(VLOOKUP($A84,'Contribution Allocation_Report'!$A$9:$D$311,4,FALSE)*$M$326,0)</f>
        <v>-61895</v>
      </c>
      <c r="N84" s="64">
        <f>ROUND(VLOOKUP($A84,'Contribution Allocation_Report'!$A$9:$D$311,4,FALSE)*$N$326,0)</f>
        <v>-93317</v>
      </c>
      <c r="O84" s="64">
        <f>ROUND(VLOOKUP($A84,'Contribution Allocation_Report'!$A$9:$D$311,4,FALSE)*$O$326,0)</f>
        <v>-53160</v>
      </c>
      <c r="Q84" s="64">
        <f>+K84+VLOOKUP(A84,'Change in Proportion Layers'!$A$8:$N$324,3,FALSE)+VLOOKUP(A84,'Change in Proportion Layers'!$A$8:$Y$324,10,FALSE)+VLOOKUP(A84,'Change in Proportion Layers'!$A$8:$Y$324,16,FALSE)+VLOOKUP(A84,'Change in Proportion Layers'!$A$8:$Y$324,21,FALSE)+VLOOKUP(A84,'Change in Proportion Layers'!$A$8:$Y$324,25,FALSE)</f>
        <v>-127826</v>
      </c>
      <c r="R84" s="64">
        <f>+L84+VLOOKUP(A84,'Change in Proportion Layers'!$A$8:$Y$324,4,FALSE)+VLOOKUP(A84,'Change in Proportion Layers'!$A$8:$Y$324,11,FALSE)+VLOOKUP(A84,'Change in Proportion Layers'!$A$8:$Y$324,17,FALSE)+VLOOKUP(A84,'Change in Proportion Layers'!$A$8:$Y$324,22,FALSE)</f>
        <v>-72369</v>
      </c>
      <c r="S84" s="64">
        <f>+M84+VLOOKUP(A84,'Change in Proportion Layers'!$A$8:$Y$324,5,FALSE)+VLOOKUP(A84,'Change in Proportion Layers'!$A$8:$Y$324,12,FALSE)+VLOOKUP(A84,'Change in Proportion Layers'!$A$8:$Y$324,18,FALSE)</f>
        <v>-29292</v>
      </c>
      <c r="T84" s="64">
        <f>+N84+VLOOKUP(A84,'Change in Proportion Layers'!$A$8:$Y$324,6,FALSE)+VLOOKUP(A84,'Change in Proportion Layers'!$A$8:$Y$324,13,FALSE)</f>
        <v>-52416</v>
      </c>
      <c r="U84" s="64">
        <f>+O84+VLOOKUP(A84,'Change in Proportion Layers'!$A$8:$Y$324,7,FALSE)</f>
        <v>-21917</v>
      </c>
      <c r="W84" s="64">
        <f>('OPEB Amounts_Report'!H83-'OPEB Amounts_Report'!M83)</f>
        <v>-1068238</v>
      </c>
      <c r="X84" s="129">
        <f>SUM(Q84:U84)-('OPEB Amounts_Report'!H84-'OPEB Amounts_Report'!M84)</f>
        <v>0</v>
      </c>
    </row>
    <row r="85" spans="1:24">
      <c r="A85" s="184">
        <v>26079</v>
      </c>
      <c r="B85" s="185" t="s">
        <v>74</v>
      </c>
      <c r="C85" s="63">
        <f t="shared" si="1"/>
        <v>-127624</v>
      </c>
      <c r="D85" s="63">
        <f t="shared" si="1"/>
        <v>-93344</v>
      </c>
      <c r="E85" s="63">
        <f t="shared" si="1"/>
        <v>-48236</v>
      </c>
      <c r="F85" s="63">
        <f t="shared" si="1"/>
        <v>-68900</v>
      </c>
      <c r="G85" s="63">
        <f t="shared" si="1"/>
        <v>-42284</v>
      </c>
      <c r="I85" s="186"/>
      <c r="K85" s="64">
        <f>ROUND(VLOOKUP($A85,'Contribution Allocation_Report'!$A$9:$D$311,4,FALSE)*$K$326,0)</f>
        <v>-104214</v>
      </c>
      <c r="L85" s="64">
        <f>ROUND(VLOOKUP($A85,'Contribution Allocation_Report'!$A$9:$D$311,4,FALSE)*$L$326,0)</f>
        <v>-75728</v>
      </c>
      <c r="M85" s="64">
        <f>ROUND(VLOOKUP($A85,'Contribution Allocation_Report'!$A$9:$D$311,4,FALSE)*$M$326,0)</f>
        <v>-45699</v>
      </c>
      <c r="N85" s="64">
        <f>ROUND(VLOOKUP($A85,'Contribution Allocation_Report'!$A$9:$D$311,4,FALSE)*$N$326,0)</f>
        <v>-68899</v>
      </c>
      <c r="O85" s="64">
        <f>ROUND(VLOOKUP($A85,'Contribution Allocation_Report'!$A$9:$D$311,4,FALSE)*$O$326,0)</f>
        <v>-39250</v>
      </c>
      <c r="Q85" s="64">
        <f>+K85+VLOOKUP(A85,'Change in Proportion Layers'!$A$8:$N$324,3,FALSE)+VLOOKUP(A85,'Change in Proportion Layers'!$A$8:$Y$324,10,FALSE)+VLOOKUP(A85,'Change in Proportion Layers'!$A$8:$Y$324,16,FALSE)+VLOOKUP(A85,'Change in Proportion Layers'!$A$8:$Y$324,21,FALSE)+VLOOKUP(A85,'Change in Proportion Layers'!$A$8:$Y$324,25,FALSE)</f>
        <v>-127624</v>
      </c>
      <c r="R85" s="64">
        <f>+L85+VLOOKUP(A85,'Change in Proportion Layers'!$A$8:$Y$324,4,FALSE)+VLOOKUP(A85,'Change in Proportion Layers'!$A$8:$Y$324,11,FALSE)+VLOOKUP(A85,'Change in Proportion Layers'!$A$8:$Y$324,17,FALSE)+VLOOKUP(A85,'Change in Proportion Layers'!$A$8:$Y$324,22,FALSE)</f>
        <v>-93344</v>
      </c>
      <c r="S85" s="64">
        <f>+M85+VLOOKUP(A85,'Change in Proportion Layers'!$A$8:$Y$324,5,FALSE)+VLOOKUP(A85,'Change in Proportion Layers'!$A$8:$Y$324,12,FALSE)+VLOOKUP(A85,'Change in Proportion Layers'!$A$8:$Y$324,18,FALSE)</f>
        <v>-48236</v>
      </c>
      <c r="T85" s="64">
        <f>+N85+VLOOKUP(A85,'Change in Proportion Layers'!$A$8:$Y$324,6,FALSE)+VLOOKUP(A85,'Change in Proportion Layers'!$A$8:$Y$324,13,FALSE)</f>
        <v>-68900</v>
      </c>
      <c r="U85" s="64">
        <f>+O85+VLOOKUP(A85,'Change in Proportion Layers'!$A$8:$Y$324,7,FALSE)+1</f>
        <v>-42284</v>
      </c>
      <c r="W85" s="64">
        <f>('OPEB Amounts_Report'!H84-'OPEB Amounts_Report'!M84)</f>
        <v>-303820</v>
      </c>
      <c r="X85" s="129">
        <f>SUM(Q85:U85)-('OPEB Amounts_Report'!H85-'OPEB Amounts_Report'!M85)</f>
        <v>0</v>
      </c>
    </row>
    <row r="86" spans="1:24">
      <c r="A86" s="187">
        <v>2363</v>
      </c>
      <c r="B86" s="188" t="s">
        <v>75</v>
      </c>
      <c r="C86" s="5">
        <f t="shared" si="1"/>
        <v>-134987</v>
      </c>
      <c r="D86" s="5">
        <f t="shared" si="1"/>
        <v>-96055</v>
      </c>
      <c r="E86" s="5">
        <f t="shared" si="1"/>
        <v>-58394</v>
      </c>
      <c r="F86" s="5">
        <f t="shared" si="1"/>
        <v>-86995</v>
      </c>
      <c r="G86" s="5">
        <f t="shared" si="1"/>
        <v>-55106</v>
      </c>
      <c r="I86" s="186"/>
      <c r="K86" s="64">
        <f>ROUND(VLOOKUP($A86,'Contribution Allocation_Report'!$A$9:$D$311,4,FALSE)*$K$326,0)</f>
        <v>-135757</v>
      </c>
      <c r="L86" s="64">
        <f>ROUND(VLOOKUP($A86,'Contribution Allocation_Report'!$A$9:$D$311,4,FALSE)*$L$326,0)</f>
        <v>-98649</v>
      </c>
      <c r="M86" s="64">
        <f>ROUND(VLOOKUP($A86,'Contribution Allocation_Report'!$A$9:$D$311,4,FALSE)*$M$326,0)</f>
        <v>-59531</v>
      </c>
      <c r="N86" s="64">
        <f>ROUND(VLOOKUP($A86,'Contribution Allocation_Report'!$A$9:$D$311,4,FALSE)*$N$326,0)</f>
        <v>-89753</v>
      </c>
      <c r="O86" s="64">
        <f>ROUND(VLOOKUP($A86,'Contribution Allocation_Report'!$A$9:$D$311,4,FALSE)*$O$326,0)</f>
        <v>-51130</v>
      </c>
      <c r="Q86" s="64">
        <f>+K86+VLOOKUP(A86,'Change in Proportion Layers'!$A$8:$N$324,3,FALSE)+VLOOKUP(A86,'Change in Proportion Layers'!$A$8:$Y$324,10,FALSE)+VLOOKUP(A86,'Change in Proportion Layers'!$A$8:$Y$324,16,FALSE)+VLOOKUP(A86,'Change in Proportion Layers'!$A$8:$Y$324,21,FALSE)+VLOOKUP(A86,'Change in Proportion Layers'!$A$8:$Y$324,25,FALSE)</f>
        <v>-134987</v>
      </c>
      <c r="R86" s="64">
        <f>+L86+VLOOKUP(A86,'Change in Proportion Layers'!$A$8:$Y$324,4,FALSE)+VLOOKUP(A86,'Change in Proportion Layers'!$A$8:$Y$324,11,FALSE)+VLOOKUP(A86,'Change in Proportion Layers'!$A$8:$Y$324,17,FALSE)+VLOOKUP(A86,'Change in Proportion Layers'!$A$8:$Y$324,22,FALSE)</f>
        <v>-96055</v>
      </c>
      <c r="S86" s="64">
        <f>+M86+VLOOKUP(A86,'Change in Proportion Layers'!$A$8:$Y$324,5,FALSE)+VLOOKUP(A86,'Change in Proportion Layers'!$A$8:$Y$324,12,FALSE)+VLOOKUP(A86,'Change in Proportion Layers'!$A$8:$Y$324,18,FALSE)</f>
        <v>-58394</v>
      </c>
      <c r="T86" s="64">
        <f>+N86+VLOOKUP(A86,'Change in Proportion Layers'!$A$8:$Y$324,6,FALSE)+VLOOKUP(A86,'Change in Proportion Layers'!$A$8:$Y$324,13,FALSE)</f>
        <v>-86995</v>
      </c>
      <c r="U86" s="64">
        <f>+O86+VLOOKUP(A86,'Change in Proportion Layers'!$A$8:$Y$324,7,FALSE)</f>
        <v>-55106</v>
      </c>
      <c r="W86" s="64">
        <f>('OPEB Amounts_Report'!H85-'OPEB Amounts_Report'!M85)</f>
        <v>-380388</v>
      </c>
      <c r="X86" s="129">
        <f>SUM(Q86:U86)-('OPEB Amounts_Report'!H86-'OPEB Amounts_Report'!M86)</f>
        <v>0</v>
      </c>
    </row>
    <row r="87" spans="1:24">
      <c r="A87" s="184">
        <v>2364</v>
      </c>
      <c r="B87" s="185" t="s">
        <v>76</v>
      </c>
      <c r="C87" s="63">
        <f t="shared" si="1"/>
        <v>-271327</v>
      </c>
      <c r="D87" s="63">
        <f t="shared" si="1"/>
        <v>-138079</v>
      </c>
      <c r="E87" s="63">
        <f t="shared" si="1"/>
        <v>-6391</v>
      </c>
      <c r="F87" s="63">
        <f t="shared" si="1"/>
        <v>-113903</v>
      </c>
      <c r="G87" s="63">
        <f t="shared" si="1"/>
        <v>-68374</v>
      </c>
      <c r="I87" s="186"/>
      <c r="K87" s="64">
        <f>ROUND(VLOOKUP($A87,'Contribution Allocation_Report'!$A$9:$D$311,4,FALSE)*$K$326,0)</f>
        <v>-422328</v>
      </c>
      <c r="L87" s="64">
        <f>ROUND(VLOOKUP($A87,'Contribution Allocation_Report'!$A$9:$D$311,4,FALSE)*$L$326,0)</f>
        <v>-306887</v>
      </c>
      <c r="M87" s="64">
        <f>ROUND(VLOOKUP($A87,'Contribution Allocation_Report'!$A$9:$D$311,4,FALSE)*$M$326,0)</f>
        <v>-185196</v>
      </c>
      <c r="N87" s="64">
        <f>ROUND(VLOOKUP($A87,'Contribution Allocation_Report'!$A$9:$D$311,4,FALSE)*$N$326,0)</f>
        <v>-279214</v>
      </c>
      <c r="O87" s="64">
        <f>ROUND(VLOOKUP($A87,'Contribution Allocation_Report'!$A$9:$D$311,4,FALSE)*$O$326,0)</f>
        <v>-159060</v>
      </c>
      <c r="Q87" s="64">
        <f>+K87+VLOOKUP(A87,'Change in Proportion Layers'!$A$8:$N$324,3,FALSE)+VLOOKUP(A87,'Change in Proportion Layers'!$A$8:$Y$324,10,FALSE)+VLOOKUP(A87,'Change in Proportion Layers'!$A$8:$Y$324,16,FALSE)+VLOOKUP(A87,'Change in Proportion Layers'!$A$8:$Y$324,21,FALSE)+VLOOKUP(A87,'Change in Proportion Layers'!$A$8:$Y$324,25,FALSE)</f>
        <v>-271327</v>
      </c>
      <c r="R87" s="64">
        <f>+L87+VLOOKUP(A87,'Change in Proportion Layers'!$A$8:$Y$324,4,FALSE)+VLOOKUP(A87,'Change in Proportion Layers'!$A$8:$Y$324,11,FALSE)+VLOOKUP(A87,'Change in Proportion Layers'!$A$8:$Y$324,17,FALSE)+VLOOKUP(A87,'Change in Proportion Layers'!$A$8:$Y$324,22,FALSE)</f>
        <v>-138079</v>
      </c>
      <c r="S87" s="64">
        <f>+M87+VLOOKUP(A87,'Change in Proportion Layers'!$A$8:$Y$324,5,FALSE)+VLOOKUP(A87,'Change in Proportion Layers'!$A$8:$Y$324,12,FALSE)+VLOOKUP(A87,'Change in Proportion Layers'!$A$8:$Y$324,18,FALSE)</f>
        <v>-6391</v>
      </c>
      <c r="T87" s="64">
        <f>+N87+VLOOKUP(A87,'Change in Proportion Layers'!$A$8:$Y$324,6,FALSE)+VLOOKUP(A87,'Change in Proportion Layers'!$A$8:$Y$324,13,FALSE)</f>
        <v>-113903</v>
      </c>
      <c r="U87" s="64">
        <f>+O87+VLOOKUP(A87,'Change in Proportion Layers'!$A$8:$Y$324,7,FALSE)</f>
        <v>-68374</v>
      </c>
      <c r="W87" s="64">
        <f>('OPEB Amounts_Report'!H86-'OPEB Amounts_Report'!M86)</f>
        <v>-431537</v>
      </c>
      <c r="X87" s="129">
        <f>SUM(Q87:U87)-('OPEB Amounts_Report'!H87-'OPEB Amounts_Report'!M87)</f>
        <v>0</v>
      </c>
    </row>
    <row r="88" spans="1:24">
      <c r="A88" s="187">
        <v>25319</v>
      </c>
      <c r="B88" s="188" t="s">
        <v>77</v>
      </c>
      <c r="C88" s="5">
        <f t="shared" si="1"/>
        <v>-78476</v>
      </c>
      <c r="D88" s="5">
        <f t="shared" si="1"/>
        <v>-54166</v>
      </c>
      <c r="E88" s="5">
        <f t="shared" si="1"/>
        <v>-24154</v>
      </c>
      <c r="F88" s="5">
        <f t="shared" si="1"/>
        <v>-54015</v>
      </c>
      <c r="G88" s="5">
        <f t="shared" si="1"/>
        <v>-40943</v>
      </c>
      <c r="I88" s="186"/>
      <c r="K88" s="64">
        <f>ROUND(VLOOKUP($A88,'Contribution Allocation_Report'!$A$9:$D$311,4,FALSE)*$K$326,0)</f>
        <v>-109044</v>
      </c>
      <c r="L88" s="64">
        <f>ROUND(VLOOKUP($A88,'Contribution Allocation_Report'!$A$9:$D$311,4,FALSE)*$L$326,0)</f>
        <v>-79238</v>
      </c>
      <c r="M88" s="64">
        <f>ROUND(VLOOKUP($A88,'Contribution Allocation_Report'!$A$9:$D$311,4,FALSE)*$M$326,0)</f>
        <v>-47817</v>
      </c>
      <c r="N88" s="64">
        <f>ROUND(VLOOKUP($A88,'Contribution Allocation_Report'!$A$9:$D$311,4,FALSE)*$N$326,0)</f>
        <v>-72093</v>
      </c>
      <c r="O88" s="64">
        <f>ROUND(VLOOKUP($A88,'Contribution Allocation_Report'!$A$9:$D$311,4,FALSE)*$O$326,0)</f>
        <v>-41069</v>
      </c>
      <c r="Q88" s="64">
        <f>+K88+VLOOKUP(A88,'Change in Proportion Layers'!$A$8:$N$324,3,FALSE)+VLOOKUP(A88,'Change in Proportion Layers'!$A$8:$Y$324,10,FALSE)+VLOOKUP(A88,'Change in Proportion Layers'!$A$8:$Y$324,16,FALSE)+VLOOKUP(A88,'Change in Proportion Layers'!$A$8:$Y$324,21,FALSE)+VLOOKUP(A88,'Change in Proportion Layers'!$A$8:$Y$324,25,FALSE)</f>
        <v>-78476</v>
      </c>
      <c r="R88" s="64">
        <f>+L88+VLOOKUP(A88,'Change in Proportion Layers'!$A$8:$Y$324,4,FALSE)+VLOOKUP(A88,'Change in Proportion Layers'!$A$8:$Y$324,11,FALSE)+VLOOKUP(A88,'Change in Proportion Layers'!$A$8:$Y$324,17,FALSE)+VLOOKUP(A88,'Change in Proportion Layers'!$A$8:$Y$324,22,FALSE)</f>
        <v>-54166</v>
      </c>
      <c r="S88" s="64">
        <f>+M88+VLOOKUP(A88,'Change in Proportion Layers'!$A$8:$Y$324,5,FALSE)+VLOOKUP(A88,'Change in Proportion Layers'!$A$8:$Y$324,12,FALSE)+VLOOKUP(A88,'Change in Proportion Layers'!$A$8:$Y$324,18,FALSE)</f>
        <v>-24154</v>
      </c>
      <c r="T88" s="64">
        <f>+N88+VLOOKUP(A88,'Change in Proportion Layers'!$A$8:$Y$324,6,FALSE)+VLOOKUP(A88,'Change in Proportion Layers'!$A$8:$Y$324,13,FALSE)</f>
        <v>-54015</v>
      </c>
      <c r="U88" s="64">
        <f>+O88+VLOOKUP(A88,'Change in Proportion Layers'!$A$8:$Y$324,7,FALSE)</f>
        <v>-40943</v>
      </c>
      <c r="W88" s="64">
        <f>('OPEB Amounts_Report'!H87-'OPEB Amounts_Report'!M87)</f>
        <v>-598074</v>
      </c>
      <c r="X88" s="129">
        <f>SUM(Q88:U88)-('OPEB Amounts_Report'!H88-'OPEB Amounts_Report'!M88)</f>
        <v>0</v>
      </c>
    </row>
    <row r="89" spans="1:24">
      <c r="A89" s="184">
        <v>29087</v>
      </c>
      <c r="B89" s="185" t="s">
        <v>78</v>
      </c>
      <c r="C89" s="63">
        <f t="shared" si="1"/>
        <v>-362518</v>
      </c>
      <c r="D89" s="63">
        <f t="shared" si="1"/>
        <v>-200651</v>
      </c>
      <c r="E89" s="63">
        <f t="shared" si="1"/>
        <v>-57458</v>
      </c>
      <c r="F89" s="63">
        <f t="shared" si="1"/>
        <v>-398834</v>
      </c>
      <c r="G89" s="63">
        <f t="shared" si="1"/>
        <v>-173461</v>
      </c>
      <c r="I89" s="186"/>
      <c r="K89" s="64">
        <f>ROUND(VLOOKUP($A89,'Contribution Allocation_Report'!$A$9:$D$311,4,FALSE)*$K$326,0)</f>
        <v>-692585</v>
      </c>
      <c r="L89" s="64">
        <f>ROUND(VLOOKUP($A89,'Contribution Allocation_Report'!$A$9:$D$311,4,FALSE)*$L$326,0)</f>
        <v>-503271</v>
      </c>
      <c r="M89" s="64">
        <f>ROUND(VLOOKUP($A89,'Contribution Allocation_Report'!$A$9:$D$311,4,FALSE)*$M$326,0)</f>
        <v>-303707</v>
      </c>
      <c r="N89" s="64">
        <f>ROUND(VLOOKUP($A89,'Contribution Allocation_Report'!$A$9:$D$311,4,FALSE)*$N$326,0)</f>
        <v>-457890</v>
      </c>
      <c r="O89" s="64">
        <f>ROUND(VLOOKUP($A89,'Contribution Allocation_Report'!$A$9:$D$311,4,FALSE)*$O$326,0)</f>
        <v>-260846</v>
      </c>
      <c r="Q89" s="64">
        <f>+K89+VLOOKUP(A89,'Change in Proportion Layers'!$A$8:$N$324,3,FALSE)+VLOOKUP(A89,'Change in Proportion Layers'!$A$8:$Y$324,10,FALSE)+VLOOKUP(A89,'Change in Proportion Layers'!$A$8:$Y$324,16,FALSE)+VLOOKUP(A89,'Change in Proportion Layers'!$A$8:$Y$324,21,FALSE)+VLOOKUP(A89,'Change in Proportion Layers'!$A$8:$Y$324,25,FALSE)</f>
        <v>-362518</v>
      </c>
      <c r="R89" s="64">
        <f>+L89+VLOOKUP(A89,'Change in Proportion Layers'!$A$8:$Y$324,4,FALSE)+VLOOKUP(A89,'Change in Proportion Layers'!$A$8:$Y$324,11,FALSE)+VLOOKUP(A89,'Change in Proportion Layers'!$A$8:$Y$324,17,FALSE)+VLOOKUP(A89,'Change in Proportion Layers'!$A$8:$Y$324,22,FALSE)</f>
        <v>-200651</v>
      </c>
      <c r="S89" s="64">
        <f>+M89+VLOOKUP(A89,'Change in Proportion Layers'!$A$8:$Y$324,5,FALSE)+VLOOKUP(A89,'Change in Proportion Layers'!$A$8:$Y$324,12,FALSE)+VLOOKUP(A89,'Change in Proportion Layers'!$A$8:$Y$324,18,FALSE)</f>
        <v>-57458</v>
      </c>
      <c r="T89" s="64">
        <f>+N89+VLOOKUP(A89,'Change in Proportion Layers'!$A$8:$Y$324,6,FALSE)+VLOOKUP(A89,'Change in Proportion Layers'!$A$8:$Y$324,13,FALSE)</f>
        <v>-398834</v>
      </c>
      <c r="U89" s="64">
        <f>+O89+VLOOKUP(A89,'Change in Proportion Layers'!$A$8:$Y$324,7,FALSE)</f>
        <v>-173461</v>
      </c>
      <c r="W89" s="64">
        <f>('OPEB Amounts_Report'!H88-'OPEB Amounts_Report'!M88)</f>
        <v>-251754</v>
      </c>
      <c r="X89" s="129">
        <f>SUM(Q89:U89)-('OPEB Amounts_Report'!H89-'OPEB Amounts_Report'!M89)</f>
        <v>0</v>
      </c>
    </row>
    <row r="90" spans="1:24">
      <c r="A90" s="187">
        <v>3060</v>
      </c>
      <c r="B90" s="188" t="s">
        <v>79</v>
      </c>
      <c r="C90" s="5">
        <f t="shared" si="1"/>
        <v>-729287</v>
      </c>
      <c r="D90" s="5">
        <f t="shared" si="1"/>
        <v>-574027</v>
      </c>
      <c r="E90" s="5">
        <f t="shared" si="1"/>
        <v>-356945</v>
      </c>
      <c r="F90" s="5">
        <f t="shared" si="1"/>
        <v>-480999</v>
      </c>
      <c r="G90" s="5">
        <f t="shared" si="1"/>
        <v>-235406</v>
      </c>
      <c r="I90" s="186"/>
      <c r="K90" s="64">
        <f>ROUND(VLOOKUP($A90,'Contribution Allocation_Report'!$A$9:$D$311,4,FALSE)*$K$326,0)</f>
        <v>-532583</v>
      </c>
      <c r="L90" s="64">
        <f>ROUND(VLOOKUP($A90,'Contribution Allocation_Report'!$A$9:$D$311,4,FALSE)*$L$326,0)</f>
        <v>-387005</v>
      </c>
      <c r="M90" s="64">
        <f>ROUND(VLOOKUP($A90,'Contribution Allocation_Report'!$A$9:$D$311,4,FALSE)*$M$326,0)</f>
        <v>-233544</v>
      </c>
      <c r="N90" s="64">
        <f>ROUND(VLOOKUP($A90,'Contribution Allocation_Report'!$A$9:$D$311,4,FALSE)*$N$326,0)</f>
        <v>-352107</v>
      </c>
      <c r="O90" s="64">
        <f>ROUND(VLOOKUP($A90,'Contribution Allocation_Report'!$A$9:$D$311,4,FALSE)*$O$326,0)</f>
        <v>-200585</v>
      </c>
      <c r="Q90" s="64">
        <f>+K90+VLOOKUP(A90,'Change in Proportion Layers'!$A$8:$N$324,3,FALSE)+VLOOKUP(A90,'Change in Proportion Layers'!$A$8:$Y$324,10,FALSE)+VLOOKUP(A90,'Change in Proportion Layers'!$A$8:$Y$324,16,FALSE)+VLOOKUP(A90,'Change in Proportion Layers'!$A$8:$Y$324,21,FALSE)+VLOOKUP(A90,'Change in Proportion Layers'!$A$8:$Y$324,25,FALSE)</f>
        <v>-729287</v>
      </c>
      <c r="R90" s="64">
        <f>+L90+VLOOKUP(A90,'Change in Proportion Layers'!$A$8:$Y$324,4,FALSE)+VLOOKUP(A90,'Change in Proportion Layers'!$A$8:$Y$324,11,FALSE)+VLOOKUP(A90,'Change in Proportion Layers'!$A$8:$Y$324,17,FALSE)+VLOOKUP(A90,'Change in Proportion Layers'!$A$8:$Y$324,22,FALSE)</f>
        <v>-574027</v>
      </c>
      <c r="S90" s="64">
        <f>+M90+VLOOKUP(A90,'Change in Proportion Layers'!$A$8:$Y$324,5,FALSE)+VLOOKUP(A90,'Change in Proportion Layers'!$A$8:$Y$324,12,FALSE)+VLOOKUP(A90,'Change in Proportion Layers'!$A$8:$Y$324,18,FALSE)</f>
        <v>-356945</v>
      </c>
      <c r="T90" s="64">
        <f>+N90+VLOOKUP(A90,'Change in Proportion Layers'!$A$8:$Y$324,6,FALSE)+VLOOKUP(A90,'Change in Proportion Layers'!$A$8:$Y$324,13,FALSE)</f>
        <v>-480999</v>
      </c>
      <c r="U90" s="64">
        <f>+O90+VLOOKUP(A90,'Change in Proportion Layers'!$A$8:$Y$324,7,FALSE)</f>
        <v>-235406</v>
      </c>
      <c r="W90" s="64">
        <f>('OPEB Amounts_Report'!H89-'OPEB Amounts_Report'!M89)</f>
        <v>-1192922</v>
      </c>
      <c r="X90" s="129">
        <f>SUM(Q90:U90)-('OPEB Amounts_Report'!H90-'OPEB Amounts_Report'!M90)</f>
        <v>0</v>
      </c>
    </row>
    <row r="91" spans="1:24">
      <c r="A91" s="184">
        <v>19301</v>
      </c>
      <c r="B91" s="185" t="s">
        <v>80</v>
      </c>
      <c r="C91" s="63">
        <f t="shared" si="1"/>
        <v>-117679</v>
      </c>
      <c r="D91" s="63">
        <f t="shared" si="1"/>
        <v>-81444</v>
      </c>
      <c r="E91" s="63">
        <f t="shared" si="1"/>
        <v>-50647</v>
      </c>
      <c r="F91" s="63">
        <f t="shared" si="1"/>
        <v>-42695</v>
      </c>
      <c r="G91" s="63">
        <f t="shared" si="1"/>
        <v>-17838</v>
      </c>
      <c r="I91" s="186"/>
      <c r="K91" s="64">
        <f>ROUND(VLOOKUP($A91,'Contribution Allocation_Report'!$A$9:$D$311,4,FALSE)*$K$326,0)</f>
        <v>-96190</v>
      </c>
      <c r="L91" s="64">
        <f>ROUND(VLOOKUP($A91,'Contribution Allocation_Report'!$A$9:$D$311,4,FALSE)*$L$326,0)</f>
        <v>-69897</v>
      </c>
      <c r="M91" s="64">
        <f>ROUND(VLOOKUP($A91,'Contribution Allocation_Report'!$A$9:$D$311,4,FALSE)*$M$326,0)</f>
        <v>-42181</v>
      </c>
      <c r="N91" s="64">
        <f>ROUND(VLOOKUP($A91,'Contribution Allocation_Report'!$A$9:$D$311,4,FALSE)*$N$326,0)</f>
        <v>-63594</v>
      </c>
      <c r="O91" s="64">
        <f>ROUND(VLOOKUP($A91,'Contribution Allocation_Report'!$A$9:$D$311,4,FALSE)*$O$326,0)</f>
        <v>-36228</v>
      </c>
      <c r="Q91" s="64">
        <f>+K91+VLOOKUP(A91,'Change in Proportion Layers'!$A$8:$N$324,3,FALSE)+VLOOKUP(A91,'Change in Proportion Layers'!$A$8:$Y$324,10,FALSE)+VLOOKUP(A91,'Change in Proportion Layers'!$A$8:$Y$324,16,FALSE)+VLOOKUP(A91,'Change in Proportion Layers'!$A$8:$Y$324,21,FALSE)+VLOOKUP(A91,'Change in Proportion Layers'!$A$8:$Y$324,25,FALSE)</f>
        <v>-117679</v>
      </c>
      <c r="R91" s="64">
        <f>+L91+VLOOKUP(A91,'Change in Proportion Layers'!$A$8:$Y$324,4,FALSE)+VLOOKUP(A91,'Change in Proportion Layers'!$A$8:$Y$324,11,FALSE)+VLOOKUP(A91,'Change in Proportion Layers'!$A$8:$Y$324,17,FALSE)+VLOOKUP(A91,'Change in Proportion Layers'!$A$8:$Y$324,22,FALSE)</f>
        <v>-81444</v>
      </c>
      <c r="S91" s="64">
        <f>+M91+VLOOKUP(A91,'Change in Proportion Layers'!$A$8:$Y$324,5,FALSE)+VLOOKUP(A91,'Change in Proportion Layers'!$A$8:$Y$324,12,FALSE)+VLOOKUP(A91,'Change in Proportion Layers'!$A$8:$Y$324,18,FALSE)</f>
        <v>-50647</v>
      </c>
      <c r="T91" s="64">
        <f>+N91+VLOOKUP(A91,'Change in Proportion Layers'!$A$8:$Y$324,6,FALSE)+VLOOKUP(A91,'Change in Proportion Layers'!$A$8:$Y$324,13,FALSE)</f>
        <v>-42695</v>
      </c>
      <c r="U91" s="64">
        <f>+O91+VLOOKUP(A91,'Change in Proportion Layers'!$A$8:$Y$324,7,FALSE)</f>
        <v>-17838</v>
      </c>
      <c r="W91" s="64">
        <f>('OPEB Amounts_Report'!H90-'OPEB Amounts_Report'!M90)</f>
        <v>-2376664</v>
      </c>
      <c r="X91" s="129">
        <f>SUM(Q91:U91)-('OPEB Amounts_Report'!H91-'OPEB Amounts_Report'!M91)</f>
        <v>0</v>
      </c>
    </row>
    <row r="92" spans="1:24">
      <c r="A92" s="187">
        <v>19059</v>
      </c>
      <c r="B92" s="188" t="s">
        <v>81</v>
      </c>
      <c r="C92" s="5">
        <f t="shared" si="1"/>
        <v>-2715548</v>
      </c>
      <c r="D92" s="5">
        <f t="shared" si="1"/>
        <v>-1680488</v>
      </c>
      <c r="E92" s="5">
        <f t="shared" si="1"/>
        <v>-813272</v>
      </c>
      <c r="F92" s="5">
        <f t="shared" si="1"/>
        <v>-1963792</v>
      </c>
      <c r="G92" s="5">
        <f t="shared" si="1"/>
        <v>-931844</v>
      </c>
      <c r="I92" s="186"/>
      <c r="K92" s="64">
        <f>ROUND(VLOOKUP($A92,'Contribution Allocation_Report'!$A$9:$D$311,4,FALSE)*$K$326,0)</f>
        <v>-3548180</v>
      </c>
      <c r="L92" s="64">
        <f>ROUND(VLOOKUP($A92,'Contribution Allocation_Report'!$A$9:$D$311,4,FALSE)*$L$326,0)</f>
        <v>-2578307</v>
      </c>
      <c r="M92" s="64">
        <f>ROUND(VLOOKUP($A92,'Contribution Allocation_Report'!$A$9:$D$311,4,FALSE)*$M$326,0)</f>
        <v>-1555919</v>
      </c>
      <c r="N92" s="64">
        <f>ROUND(VLOOKUP($A92,'Contribution Allocation_Report'!$A$9:$D$311,4,FALSE)*$N$326,0)</f>
        <v>-2345813</v>
      </c>
      <c r="O92" s="64">
        <f>ROUND(VLOOKUP($A92,'Contribution Allocation_Report'!$A$9:$D$311,4,FALSE)*$O$326,0)</f>
        <v>-1336338</v>
      </c>
      <c r="Q92" s="64">
        <f>+K92+VLOOKUP(A92,'Change in Proportion Layers'!$A$8:$N$324,3,FALSE)+VLOOKUP(A92,'Change in Proportion Layers'!$A$8:$Y$324,10,FALSE)+VLOOKUP(A92,'Change in Proportion Layers'!$A$8:$Y$324,16,FALSE)+VLOOKUP(A92,'Change in Proportion Layers'!$A$8:$Y$324,21,FALSE)+VLOOKUP(A92,'Change in Proportion Layers'!$A$8:$Y$324,25,FALSE)</f>
        <v>-2715548</v>
      </c>
      <c r="R92" s="64">
        <f>+L92+VLOOKUP(A92,'Change in Proportion Layers'!$A$8:$Y$324,4,FALSE)+VLOOKUP(A92,'Change in Proportion Layers'!$A$8:$Y$324,11,FALSE)+VLOOKUP(A92,'Change in Proportion Layers'!$A$8:$Y$324,17,FALSE)+VLOOKUP(A92,'Change in Proportion Layers'!$A$8:$Y$324,22,FALSE)</f>
        <v>-1680488</v>
      </c>
      <c r="S92" s="64">
        <f>+M92+VLOOKUP(A92,'Change in Proportion Layers'!$A$8:$Y$324,5,FALSE)+VLOOKUP(A92,'Change in Proportion Layers'!$A$8:$Y$324,12,FALSE)+VLOOKUP(A92,'Change in Proportion Layers'!$A$8:$Y$324,18,FALSE)</f>
        <v>-813272</v>
      </c>
      <c r="T92" s="64">
        <f>+N92+VLOOKUP(A92,'Change in Proportion Layers'!$A$8:$Y$324,6,FALSE)+VLOOKUP(A92,'Change in Proportion Layers'!$A$8:$Y$324,13,FALSE)</f>
        <v>-1963792</v>
      </c>
      <c r="U92" s="64">
        <f>+O92+VLOOKUP(A92,'Change in Proportion Layers'!$A$8:$Y$324,7,FALSE)+2</f>
        <v>-931844</v>
      </c>
      <c r="W92" s="64">
        <f>('OPEB Amounts_Report'!H91-'OPEB Amounts_Report'!M91)</f>
        <v>-310303</v>
      </c>
      <c r="X92" s="129">
        <f>SUM(Q92:U92)-('OPEB Amounts_Report'!H92-'OPEB Amounts_Report'!M92)</f>
        <v>0</v>
      </c>
    </row>
    <row r="93" spans="1:24">
      <c r="A93" s="184">
        <v>18057</v>
      </c>
      <c r="B93" s="185" t="s">
        <v>82</v>
      </c>
      <c r="C93" s="63">
        <f t="shared" si="1"/>
        <v>-116750</v>
      </c>
      <c r="D93" s="63">
        <f t="shared" si="1"/>
        <v>-89044</v>
      </c>
      <c r="E93" s="63">
        <f t="shared" si="1"/>
        <v>-50502</v>
      </c>
      <c r="F93" s="63">
        <f t="shared" si="1"/>
        <v>-71580</v>
      </c>
      <c r="G93" s="63">
        <f t="shared" si="1"/>
        <v>-39701</v>
      </c>
      <c r="I93" s="186"/>
      <c r="K93" s="64">
        <f>ROUND(VLOOKUP($A93,'Contribution Allocation_Report'!$A$9:$D$311,4,FALSE)*$K$326,0)</f>
        <v>-124674</v>
      </c>
      <c r="L93" s="64">
        <f>ROUND(VLOOKUP($A93,'Contribution Allocation_Report'!$A$9:$D$311,4,FALSE)*$L$326,0)</f>
        <v>-90595</v>
      </c>
      <c r="M93" s="64">
        <f>ROUND(VLOOKUP($A93,'Contribution Allocation_Report'!$A$9:$D$311,4,FALSE)*$M$326,0)</f>
        <v>-54671</v>
      </c>
      <c r="N93" s="64">
        <f>ROUND(VLOOKUP($A93,'Contribution Allocation_Report'!$A$9:$D$311,4,FALSE)*$N$326,0)</f>
        <v>-82426</v>
      </c>
      <c r="O93" s="64">
        <f>ROUND(VLOOKUP($A93,'Contribution Allocation_Report'!$A$9:$D$311,4,FALSE)*$O$326,0)</f>
        <v>-46955</v>
      </c>
      <c r="Q93" s="64">
        <f>+K93+VLOOKUP(A93,'Change in Proportion Layers'!$A$8:$N$324,3,FALSE)+VLOOKUP(A93,'Change in Proportion Layers'!$A$8:$Y$324,10,FALSE)+VLOOKUP(A93,'Change in Proportion Layers'!$A$8:$Y$324,16,FALSE)+VLOOKUP(A93,'Change in Proportion Layers'!$A$8:$Y$324,21,FALSE)+VLOOKUP(A93,'Change in Proportion Layers'!$A$8:$Y$324,25,FALSE)</f>
        <v>-116750</v>
      </c>
      <c r="R93" s="64">
        <f>+L93+VLOOKUP(A93,'Change in Proportion Layers'!$A$8:$Y$324,4,FALSE)+VLOOKUP(A93,'Change in Proportion Layers'!$A$8:$Y$324,11,FALSE)+VLOOKUP(A93,'Change in Proportion Layers'!$A$8:$Y$324,17,FALSE)+VLOOKUP(A93,'Change in Proportion Layers'!$A$8:$Y$324,22,FALSE)</f>
        <v>-89044</v>
      </c>
      <c r="S93" s="64">
        <f>+M93+VLOOKUP(A93,'Change in Proportion Layers'!$A$8:$Y$324,5,FALSE)+VLOOKUP(A93,'Change in Proportion Layers'!$A$8:$Y$324,12,FALSE)+VLOOKUP(A93,'Change in Proportion Layers'!$A$8:$Y$324,18,FALSE)</f>
        <v>-50502</v>
      </c>
      <c r="T93" s="64">
        <f>+N93+VLOOKUP(A93,'Change in Proportion Layers'!$A$8:$Y$324,6,FALSE)+VLOOKUP(A93,'Change in Proportion Layers'!$A$8:$Y$324,13,FALSE)</f>
        <v>-71580</v>
      </c>
      <c r="U93" s="64">
        <f>+O93+VLOOKUP(A93,'Change in Proportion Layers'!$A$8:$Y$324,7,FALSE)-1</f>
        <v>-39701</v>
      </c>
      <c r="W93" s="64">
        <f>('OPEB Amounts_Report'!H92-'OPEB Amounts_Report'!M92)</f>
        <v>-8104944</v>
      </c>
      <c r="X93" s="129">
        <f>SUM(Q93:U93)-('OPEB Amounts_Report'!H93-'OPEB Amounts_Report'!M93)</f>
        <v>0</v>
      </c>
    </row>
    <row r="94" spans="1:24">
      <c r="A94" s="187">
        <v>4008</v>
      </c>
      <c r="B94" s="188" t="s">
        <v>83</v>
      </c>
      <c r="C94" s="5">
        <f t="shared" si="1"/>
        <v>-713605</v>
      </c>
      <c r="D94" s="5">
        <f t="shared" si="1"/>
        <v>-466766</v>
      </c>
      <c r="E94" s="5">
        <f t="shared" si="1"/>
        <v>-268900</v>
      </c>
      <c r="F94" s="5">
        <f t="shared" si="1"/>
        <v>-353404</v>
      </c>
      <c r="G94" s="5">
        <f t="shared" si="1"/>
        <v>-226673</v>
      </c>
      <c r="I94" s="186"/>
      <c r="K94" s="64">
        <f>ROUND(VLOOKUP($A94,'Contribution Allocation_Report'!$A$9:$D$311,4,FALSE)*$K$326,0)</f>
        <v>-524257</v>
      </c>
      <c r="L94" s="64">
        <f>ROUND(VLOOKUP($A94,'Contribution Allocation_Report'!$A$9:$D$311,4,FALSE)*$L$326,0)</f>
        <v>-380955</v>
      </c>
      <c r="M94" s="64">
        <f>ROUND(VLOOKUP($A94,'Contribution Allocation_Report'!$A$9:$D$311,4,FALSE)*$M$326,0)</f>
        <v>-229893</v>
      </c>
      <c r="N94" s="64">
        <f>ROUND(VLOOKUP($A94,'Contribution Allocation_Report'!$A$9:$D$311,4,FALSE)*$N$326,0)</f>
        <v>-346603</v>
      </c>
      <c r="O94" s="64">
        <f>ROUND(VLOOKUP($A94,'Contribution Allocation_Report'!$A$9:$D$311,4,FALSE)*$O$326,0)</f>
        <v>-197449</v>
      </c>
      <c r="Q94" s="64">
        <f>+K94+VLOOKUP(A94,'Change in Proportion Layers'!$A$8:$N$324,3,FALSE)+VLOOKUP(A94,'Change in Proportion Layers'!$A$8:$Y$324,10,FALSE)+VLOOKUP(A94,'Change in Proportion Layers'!$A$8:$Y$324,16,FALSE)+VLOOKUP(A94,'Change in Proportion Layers'!$A$8:$Y$324,21,FALSE)+VLOOKUP(A94,'Change in Proportion Layers'!$A$8:$Y$324,25,FALSE)</f>
        <v>-713605</v>
      </c>
      <c r="R94" s="64">
        <f>+L94+VLOOKUP(A94,'Change in Proportion Layers'!$A$8:$Y$324,4,FALSE)+VLOOKUP(A94,'Change in Proportion Layers'!$A$8:$Y$324,11,FALSE)+VLOOKUP(A94,'Change in Proportion Layers'!$A$8:$Y$324,17,FALSE)+VLOOKUP(A94,'Change in Proportion Layers'!$A$8:$Y$324,22,FALSE)</f>
        <v>-466766</v>
      </c>
      <c r="S94" s="64">
        <f>+M94+VLOOKUP(A94,'Change in Proportion Layers'!$A$8:$Y$324,5,FALSE)+VLOOKUP(A94,'Change in Proportion Layers'!$A$8:$Y$324,12,FALSE)+VLOOKUP(A94,'Change in Proportion Layers'!$A$8:$Y$324,18,FALSE)</f>
        <v>-268900</v>
      </c>
      <c r="T94" s="64">
        <f>+N94+VLOOKUP(A94,'Change in Proportion Layers'!$A$8:$Y$324,6,FALSE)+VLOOKUP(A94,'Change in Proportion Layers'!$A$8:$Y$324,13,FALSE)</f>
        <v>-353404</v>
      </c>
      <c r="U94" s="64">
        <f>+O94+VLOOKUP(A94,'Change in Proportion Layers'!$A$8:$Y$324,7,FALSE)+2</f>
        <v>-226673</v>
      </c>
      <c r="W94" s="64">
        <f>('OPEB Amounts_Report'!H93-'OPEB Amounts_Report'!M93)</f>
        <v>-367577</v>
      </c>
      <c r="X94" s="129">
        <f>SUM(Q94:U94)-('OPEB Amounts_Report'!H94-'OPEB Amounts_Report'!M94)</f>
        <v>0</v>
      </c>
    </row>
    <row r="95" spans="1:24">
      <c r="A95" s="184">
        <v>2350</v>
      </c>
      <c r="B95" s="185" t="s">
        <v>84</v>
      </c>
      <c r="C95" s="63">
        <f t="shared" si="1"/>
        <v>-165451</v>
      </c>
      <c r="D95" s="63">
        <f t="shared" si="1"/>
        <v>-81054</v>
      </c>
      <c r="E95" s="63">
        <f t="shared" si="1"/>
        <v>-29004</v>
      </c>
      <c r="F95" s="63">
        <f t="shared" si="1"/>
        <v>-86257</v>
      </c>
      <c r="G95" s="63">
        <f t="shared" si="1"/>
        <v>-61040</v>
      </c>
      <c r="I95" s="186"/>
      <c r="K95" s="64">
        <f>ROUND(VLOOKUP($A95,'Contribution Allocation_Report'!$A$9:$D$311,4,FALSE)*$K$326,0)</f>
        <v>-186669</v>
      </c>
      <c r="L95" s="64">
        <f>ROUND(VLOOKUP($A95,'Contribution Allocation_Report'!$A$9:$D$311,4,FALSE)*$L$326,0)</f>
        <v>-135644</v>
      </c>
      <c r="M95" s="64">
        <f>ROUND(VLOOKUP($A95,'Contribution Allocation_Report'!$A$9:$D$311,4,FALSE)*$M$326,0)</f>
        <v>-81857</v>
      </c>
      <c r="N95" s="64">
        <f>ROUND(VLOOKUP($A95,'Contribution Allocation_Report'!$A$9:$D$311,4,FALSE)*$N$326,0)</f>
        <v>-123413</v>
      </c>
      <c r="O95" s="64">
        <f>ROUND(VLOOKUP($A95,'Contribution Allocation_Report'!$A$9:$D$311,4,FALSE)*$O$326,0)</f>
        <v>-70304</v>
      </c>
      <c r="Q95" s="64">
        <f>+K95+VLOOKUP(A95,'Change in Proportion Layers'!$A$8:$N$324,3,FALSE)+VLOOKUP(A95,'Change in Proportion Layers'!$A$8:$Y$324,10,FALSE)+VLOOKUP(A95,'Change in Proportion Layers'!$A$8:$Y$324,16,FALSE)+VLOOKUP(A95,'Change in Proportion Layers'!$A$8:$Y$324,21,FALSE)+VLOOKUP(A95,'Change in Proportion Layers'!$A$8:$Y$324,25,FALSE)</f>
        <v>-165451</v>
      </c>
      <c r="R95" s="64">
        <f>+L95+VLOOKUP(A95,'Change in Proportion Layers'!$A$8:$Y$324,4,FALSE)+VLOOKUP(A95,'Change in Proportion Layers'!$A$8:$Y$324,11,FALSE)+VLOOKUP(A95,'Change in Proportion Layers'!$A$8:$Y$324,17,FALSE)+VLOOKUP(A95,'Change in Proportion Layers'!$A$8:$Y$324,22,FALSE)</f>
        <v>-81054</v>
      </c>
      <c r="S95" s="64">
        <f>+M95+VLOOKUP(A95,'Change in Proportion Layers'!$A$8:$Y$324,5,FALSE)+VLOOKUP(A95,'Change in Proportion Layers'!$A$8:$Y$324,12,FALSE)+VLOOKUP(A95,'Change in Proportion Layers'!$A$8:$Y$324,18,FALSE)</f>
        <v>-29004</v>
      </c>
      <c r="T95" s="64">
        <f>+N95+VLOOKUP(A95,'Change in Proportion Layers'!$A$8:$Y$324,6,FALSE)+VLOOKUP(A95,'Change in Proportion Layers'!$A$8:$Y$324,13,FALSE)</f>
        <v>-86257</v>
      </c>
      <c r="U95" s="64">
        <f>+O95+VLOOKUP(A95,'Change in Proportion Layers'!$A$8:$Y$324,7,FALSE)+1</f>
        <v>-61040</v>
      </c>
      <c r="W95" s="64">
        <f>('OPEB Amounts_Report'!H94-'OPEB Amounts_Report'!M94)</f>
        <v>-2029348</v>
      </c>
      <c r="X95" s="129">
        <f>SUM(Q95:U95)-('OPEB Amounts_Report'!H95-'OPEB Amounts_Report'!M95)</f>
        <v>0</v>
      </c>
    </row>
    <row r="96" spans="1:24">
      <c r="A96" s="187">
        <v>11117</v>
      </c>
      <c r="B96" s="188" t="s">
        <v>85</v>
      </c>
      <c r="C96" s="5">
        <f t="shared" si="1"/>
        <v>-211169</v>
      </c>
      <c r="D96" s="5">
        <f t="shared" si="1"/>
        <v>-153708</v>
      </c>
      <c r="E96" s="5">
        <f t="shared" si="1"/>
        <v>-95549</v>
      </c>
      <c r="F96" s="5">
        <f t="shared" si="1"/>
        <v>-139837</v>
      </c>
      <c r="G96" s="5">
        <f t="shared" si="1"/>
        <v>-91365</v>
      </c>
      <c r="I96" s="186"/>
      <c r="K96" s="64">
        <f>ROUND(VLOOKUP($A96,'Contribution Allocation_Report'!$A$9:$D$311,4,FALSE)*$K$326,0)</f>
        <v>-186926</v>
      </c>
      <c r="L96" s="64">
        <f>ROUND(VLOOKUP($A96,'Contribution Allocation_Report'!$A$9:$D$311,4,FALSE)*$L$326,0)</f>
        <v>-135831</v>
      </c>
      <c r="M96" s="64">
        <f>ROUND(VLOOKUP($A96,'Contribution Allocation_Report'!$A$9:$D$311,4,FALSE)*$M$326,0)</f>
        <v>-81969</v>
      </c>
      <c r="N96" s="64">
        <f>ROUND(VLOOKUP($A96,'Contribution Allocation_Report'!$A$9:$D$311,4,FALSE)*$N$326,0)</f>
        <v>-123583</v>
      </c>
      <c r="O96" s="64">
        <f>ROUND(VLOOKUP($A96,'Contribution Allocation_Report'!$A$9:$D$311,4,FALSE)*$O$326,0)</f>
        <v>-70401</v>
      </c>
      <c r="Q96" s="64">
        <f>+K96+VLOOKUP(A96,'Change in Proportion Layers'!$A$8:$N$324,3,FALSE)+VLOOKUP(A96,'Change in Proportion Layers'!$A$8:$Y$324,10,FALSE)+VLOOKUP(A96,'Change in Proportion Layers'!$A$8:$Y$324,16,FALSE)+VLOOKUP(A96,'Change in Proportion Layers'!$A$8:$Y$324,21,FALSE)+VLOOKUP(A96,'Change in Proportion Layers'!$A$8:$Y$324,25,FALSE)</f>
        <v>-211169</v>
      </c>
      <c r="R96" s="64">
        <f>+L96+VLOOKUP(A96,'Change in Proportion Layers'!$A$8:$Y$324,4,FALSE)+VLOOKUP(A96,'Change in Proportion Layers'!$A$8:$Y$324,11,FALSE)+VLOOKUP(A96,'Change in Proportion Layers'!$A$8:$Y$324,17,FALSE)+VLOOKUP(A96,'Change in Proportion Layers'!$A$8:$Y$324,22,FALSE)</f>
        <v>-153708</v>
      </c>
      <c r="S96" s="64">
        <f>+M96+VLOOKUP(A96,'Change in Proportion Layers'!$A$8:$Y$324,5,FALSE)+VLOOKUP(A96,'Change in Proportion Layers'!$A$8:$Y$324,12,FALSE)+VLOOKUP(A96,'Change in Proportion Layers'!$A$8:$Y$324,18,FALSE)</f>
        <v>-95549</v>
      </c>
      <c r="T96" s="64">
        <f>+N96+VLOOKUP(A96,'Change in Proportion Layers'!$A$8:$Y$324,6,FALSE)+VLOOKUP(A96,'Change in Proportion Layers'!$A$8:$Y$324,13,FALSE)</f>
        <v>-139837</v>
      </c>
      <c r="U96" s="64">
        <f>+O96+VLOOKUP(A96,'Change in Proportion Layers'!$A$8:$Y$324,7,FALSE)-1</f>
        <v>-91365</v>
      </c>
      <c r="W96" s="64">
        <f>('OPEB Amounts_Report'!H95-'OPEB Amounts_Report'!M95)</f>
        <v>-422806</v>
      </c>
      <c r="X96" s="129">
        <f>SUM(Q96:U96)-('OPEB Amounts_Report'!H96-'OPEB Amounts_Report'!M96)</f>
        <v>0</v>
      </c>
    </row>
    <row r="97" spans="1:24">
      <c r="A97" s="184">
        <v>16359</v>
      </c>
      <c r="B97" s="185" t="s">
        <v>86</v>
      </c>
      <c r="C97" s="63">
        <f t="shared" si="1"/>
        <v>-18645</v>
      </c>
      <c r="D97" s="63">
        <f t="shared" si="1"/>
        <v>-15014</v>
      </c>
      <c r="E97" s="63">
        <f t="shared" si="1"/>
        <v>1355</v>
      </c>
      <c r="F97" s="63">
        <f t="shared" si="1"/>
        <v>-9255</v>
      </c>
      <c r="G97" s="63">
        <f t="shared" si="1"/>
        <v>-8693</v>
      </c>
      <c r="I97" s="186"/>
      <c r="K97" s="64">
        <f>ROUND(VLOOKUP($A97,'Contribution Allocation_Report'!$A$9:$D$311,4,FALSE)*$K$326,0)</f>
        <v>-35860</v>
      </c>
      <c r="L97" s="64">
        <f>ROUND(VLOOKUP($A97,'Contribution Allocation_Report'!$A$9:$D$311,4,FALSE)*$L$326,0)</f>
        <v>-26058</v>
      </c>
      <c r="M97" s="64">
        <f>ROUND(VLOOKUP($A97,'Contribution Allocation_Report'!$A$9:$D$311,4,FALSE)*$M$326,0)</f>
        <v>-15725</v>
      </c>
      <c r="N97" s="64">
        <f>ROUND(VLOOKUP($A97,'Contribution Allocation_Report'!$A$9:$D$311,4,FALSE)*$N$326,0)</f>
        <v>-23708</v>
      </c>
      <c r="O97" s="64">
        <f>ROUND(VLOOKUP($A97,'Contribution Allocation_Report'!$A$9:$D$311,4,FALSE)*$O$326,0)</f>
        <v>-13506</v>
      </c>
      <c r="Q97" s="64">
        <f>+K97+VLOOKUP(A97,'Change in Proportion Layers'!$A$8:$N$324,3,FALSE)+VLOOKUP(A97,'Change in Proportion Layers'!$A$8:$Y$324,10,FALSE)+VLOOKUP(A97,'Change in Proportion Layers'!$A$8:$Y$324,16,FALSE)+VLOOKUP(A97,'Change in Proportion Layers'!$A$8:$Y$324,21,FALSE)+VLOOKUP(A97,'Change in Proportion Layers'!$A$8:$Y$324,25,FALSE)</f>
        <v>-18645</v>
      </c>
      <c r="R97" s="64">
        <f>+L97+VLOOKUP(A97,'Change in Proportion Layers'!$A$8:$Y$324,4,FALSE)+VLOOKUP(A97,'Change in Proportion Layers'!$A$8:$Y$324,11,FALSE)+VLOOKUP(A97,'Change in Proportion Layers'!$A$8:$Y$324,17,FALSE)+VLOOKUP(A97,'Change in Proportion Layers'!$A$8:$Y$324,22,FALSE)</f>
        <v>-15014</v>
      </c>
      <c r="S97" s="64">
        <f>+M97+VLOOKUP(A97,'Change in Proportion Layers'!$A$8:$Y$324,5,FALSE)+VLOOKUP(A97,'Change in Proportion Layers'!$A$8:$Y$324,12,FALSE)+VLOOKUP(A97,'Change in Proportion Layers'!$A$8:$Y$324,18,FALSE)</f>
        <v>1355</v>
      </c>
      <c r="T97" s="64">
        <f>+N97+VLOOKUP(A97,'Change in Proportion Layers'!$A$8:$Y$324,6,FALSE)+VLOOKUP(A97,'Change in Proportion Layers'!$A$8:$Y$324,13,FALSE)</f>
        <v>-9255</v>
      </c>
      <c r="U97" s="64">
        <f>+O97+VLOOKUP(A97,'Change in Proportion Layers'!$A$8:$Y$324,7,FALSE)</f>
        <v>-8693</v>
      </c>
      <c r="W97" s="64">
        <f>('OPEB Amounts_Report'!H96-'OPEB Amounts_Report'!M96)</f>
        <v>-691628</v>
      </c>
      <c r="X97" s="129">
        <f>SUM(Q97:U97)-('OPEB Amounts_Report'!H97-'OPEB Amounts_Report'!M97)</f>
        <v>0</v>
      </c>
    </row>
    <row r="98" spans="1:24">
      <c r="A98" s="187">
        <v>17115</v>
      </c>
      <c r="B98" s="188" t="s">
        <v>87</v>
      </c>
      <c r="C98" s="5">
        <f t="shared" si="1"/>
        <v>-537314</v>
      </c>
      <c r="D98" s="5">
        <f t="shared" si="1"/>
        <v>-419689</v>
      </c>
      <c r="E98" s="5">
        <f t="shared" si="1"/>
        <v>-280981</v>
      </c>
      <c r="F98" s="5">
        <f t="shared" si="1"/>
        <v>-425262</v>
      </c>
      <c r="G98" s="5">
        <f t="shared" si="1"/>
        <v>-162397</v>
      </c>
      <c r="I98" s="186"/>
      <c r="K98" s="64">
        <f>ROUND(VLOOKUP($A98,'Contribution Allocation_Report'!$A$9:$D$311,4,FALSE)*$K$326,0)</f>
        <v>-609061</v>
      </c>
      <c r="L98" s="64">
        <f>ROUND(VLOOKUP($A98,'Contribution Allocation_Report'!$A$9:$D$311,4,FALSE)*$L$326,0)</f>
        <v>-442578</v>
      </c>
      <c r="M98" s="64">
        <f>ROUND(VLOOKUP($A98,'Contribution Allocation_Report'!$A$9:$D$311,4,FALSE)*$M$326,0)</f>
        <v>-267080</v>
      </c>
      <c r="N98" s="64">
        <f>ROUND(VLOOKUP($A98,'Contribution Allocation_Report'!$A$9:$D$311,4,FALSE)*$N$326,0)</f>
        <v>-402669</v>
      </c>
      <c r="O98" s="64">
        <f>ROUND(VLOOKUP($A98,'Contribution Allocation_Report'!$A$9:$D$311,4,FALSE)*$O$326,0)</f>
        <v>-229388</v>
      </c>
      <c r="Q98" s="64">
        <f>+K98+VLOOKUP(A98,'Change in Proportion Layers'!$A$8:$N$324,3,FALSE)+VLOOKUP(A98,'Change in Proportion Layers'!$A$8:$Y$324,10,FALSE)+VLOOKUP(A98,'Change in Proportion Layers'!$A$8:$Y$324,16,FALSE)+VLOOKUP(A98,'Change in Proportion Layers'!$A$8:$Y$324,21,FALSE)+VLOOKUP(A98,'Change in Proportion Layers'!$A$8:$Y$324,25,FALSE)</f>
        <v>-537314</v>
      </c>
      <c r="R98" s="64">
        <f>+L98+VLOOKUP(A98,'Change in Proportion Layers'!$A$8:$Y$324,4,FALSE)+VLOOKUP(A98,'Change in Proportion Layers'!$A$8:$Y$324,11,FALSE)+VLOOKUP(A98,'Change in Proportion Layers'!$A$8:$Y$324,17,FALSE)+VLOOKUP(A98,'Change in Proportion Layers'!$A$8:$Y$324,22,FALSE)</f>
        <v>-419689</v>
      </c>
      <c r="S98" s="64">
        <f>+M98+VLOOKUP(A98,'Change in Proportion Layers'!$A$8:$Y$324,5,FALSE)+VLOOKUP(A98,'Change in Proportion Layers'!$A$8:$Y$324,12,FALSE)+VLOOKUP(A98,'Change in Proportion Layers'!$A$8:$Y$324,18,FALSE)</f>
        <v>-280981</v>
      </c>
      <c r="T98" s="64">
        <f>+N98+VLOOKUP(A98,'Change in Proportion Layers'!$A$8:$Y$324,6,FALSE)+VLOOKUP(A98,'Change in Proportion Layers'!$A$8:$Y$324,13,FALSE)</f>
        <v>-425262</v>
      </c>
      <c r="U98" s="64">
        <f>+O98+VLOOKUP(A98,'Change in Proportion Layers'!$A$8:$Y$324,7,FALSE)-1</f>
        <v>-162397</v>
      </c>
      <c r="W98" s="64">
        <f>('OPEB Amounts_Report'!H97-'OPEB Amounts_Report'!M97)</f>
        <v>-50252</v>
      </c>
      <c r="X98" s="129">
        <f>SUM(Q98:U98)-('OPEB Amounts_Report'!H98-'OPEB Amounts_Report'!M98)</f>
        <v>0</v>
      </c>
    </row>
    <row r="99" spans="1:24">
      <c r="A99" s="184">
        <v>32117</v>
      </c>
      <c r="B99" s="185" t="s">
        <v>88</v>
      </c>
      <c r="C99" s="63">
        <f t="shared" si="1"/>
        <v>-8083</v>
      </c>
      <c r="D99" s="63">
        <f t="shared" si="1"/>
        <v>-10760</v>
      </c>
      <c r="E99" s="63">
        <f t="shared" si="1"/>
        <v>851</v>
      </c>
      <c r="F99" s="63">
        <f t="shared" si="1"/>
        <v>-18531</v>
      </c>
      <c r="G99" s="63">
        <f t="shared" si="1"/>
        <v>-12632</v>
      </c>
      <c r="I99" s="186"/>
      <c r="K99" s="64">
        <f>ROUND(VLOOKUP($A99,'Contribution Allocation_Report'!$A$9:$D$311,4,FALSE)*$K$326,0)</f>
        <v>-38246</v>
      </c>
      <c r="L99" s="64">
        <f>ROUND(VLOOKUP($A99,'Contribution Allocation_Report'!$A$9:$D$311,4,FALSE)*$L$326,0)</f>
        <v>-27792</v>
      </c>
      <c r="M99" s="64">
        <f>ROUND(VLOOKUP($A99,'Contribution Allocation_Report'!$A$9:$D$311,4,FALSE)*$M$326,0)</f>
        <v>-16771</v>
      </c>
      <c r="N99" s="64">
        <f>ROUND(VLOOKUP($A99,'Contribution Allocation_Report'!$A$9:$D$311,4,FALSE)*$N$326,0)</f>
        <v>-25285</v>
      </c>
      <c r="O99" s="64">
        <f>ROUND(VLOOKUP($A99,'Contribution Allocation_Report'!$A$9:$D$311,4,FALSE)*$O$326,0)</f>
        <v>-14404</v>
      </c>
      <c r="Q99" s="64">
        <f>+K99+VLOOKUP(A99,'Change in Proportion Layers'!$A$8:$N$324,3,FALSE)+VLOOKUP(A99,'Change in Proportion Layers'!$A$8:$Y$324,10,FALSE)+VLOOKUP(A99,'Change in Proportion Layers'!$A$8:$Y$324,16,FALSE)+VLOOKUP(A99,'Change in Proportion Layers'!$A$8:$Y$324,21,FALSE)+VLOOKUP(A99,'Change in Proportion Layers'!$A$8:$Y$324,25,FALSE)</f>
        <v>-8083</v>
      </c>
      <c r="R99" s="64">
        <f>+L99+VLOOKUP(A99,'Change in Proportion Layers'!$A$8:$Y$324,4,FALSE)+VLOOKUP(A99,'Change in Proportion Layers'!$A$8:$Y$324,11,FALSE)+VLOOKUP(A99,'Change in Proportion Layers'!$A$8:$Y$324,17,FALSE)+VLOOKUP(A99,'Change in Proportion Layers'!$A$8:$Y$324,22,FALSE)</f>
        <v>-10760</v>
      </c>
      <c r="S99" s="64">
        <f>+M99+VLOOKUP(A99,'Change in Proportion Layers'!$A$8:$Y$324,5,FALSE)+VLOOKUP(A99,'Change in Proportion Layers'!$A$8:$Y$324,12,FALSE)+VLOOKUP(A99,'Change in Proportion Layers'!$A$8:$Y$324,18,FALSE)</f>
        <v>851</v>
      </c>
      <c r="T99" s="64">
        <f>+N99+VLOOKUP(A99,'Change in Proportion Layers'!$A$8:$Y$324,6,FALSE)+VLOOKUP(A99,'Change in Proportion Layers'!$A$8:$Y$324,13,FALSE)</f>
        <v>-18531</v>
      </c>
      <c r="U99" s="64">
        <f>+O99+VLOOKUP(A99,'Change in Proportion Layers'!$A$8:$Y$324,7,FALSE)</f>
        <v>-12632</v>
      </c>
      <c r="W99" s="64">
        <f>('OPEB Amounts_Report'!H98-'OPEB Amounts_Report'!M98)</f>
        <v>-1825643</v>
      </c>
      <c r="X99" s="129">
        <f>SUM(Q99:U99)-('OPEB Amounts_Report'!H99-'OPEB Amounts_Report'!M99)</f>
        <v>0</v>
      </c>
    </row>
    <row r="100" spans="1:24">
      <c r="A100" s="187">
        <v>2304</v>
      </c>
      <c r="B100" s="188" t="s">
        <v>89</v>
      </c>
      <c r="C100" s="5">
        <f t="shared" si="1"/>
        <v>-167480</v>
      </c>
      <c r="D100" s="5">
        <f t="shared" si="1"/>
        <v>-94055</v>
      </c>
      <c r="E100" s="5">
        <f t="shared" si="1"/>
        <v>-19641</v>
      </c>
      <c r="F100" s="5">
        <f t="shared" si="1"/>
        <v>-83583</v>
      </c>
      <c r="G100" s="5">
        <f t="shared" si="1"/>
        <v>-27766</v>
      </c>
      <c r="I100" s="186"/>
      <c r="K100" s="64">
        <f>ROUND(VLOOKUP($A100,'Contribution Allocation_Report'!$A$9:$D$311,4,FALSE)*$K$326,0)</f>
        <v>-269501</v>
      </c>
      <c r="L100" s="64">
        <f>ROUND(VLOOKUP($A100,'Contribution Allocation_Report'!$A$9:$D$311,4,FALSE)*$L$326,0)</f>
        <v>-195834</v>
      </c>
      <c r="M100" s="64">
        <f>ROUND(VLOOKUP($A100,'Contribution Allocation_Report'!$A$9:$D$311,4,FALSE)*$M$326,0)</f>
        <v>-118179</v>
      </c>
      <c r="N100" s="64">
        <f>ROUND(VLOOKUP($A100,'Contribution Allocation_Report'!$A$9:$D$311,4,FALSE)*$N$326,0)</f>
        <v>-178175</v>
      </c>
      <c r="O100" s="64">
        <f>ROUND(VLOOKUP($A100,'Contribution Allocation_Report'!$A$9:$D$311,4,FALSE)*$O$326,0)</f>
        <v>-101501</v>
      </c>
      <c r="Q100" s="64">
        <f>+K100+VLOOKUP(A100,'Change in Proportion Layers'!$A$8:$N$324,3,FALSE)+VLOOKUP(A100,'Change in Proportion Layers'!$A$8:$Y$324,10,FALSE)+VLOOKUP(A100,'Change in Proportion Layers'!$A$8:$Y$324,16,FALSE)+VLOOKUP(A100,'Change in Proportion Layers'!$A$8:$Y$324,21,FALSE)+VLOOKUP(A100,'Change in Proportion Layers'!$A$8:$Y$324,25,FALSE)</f>
        <v>-167480</v>
      </c>
      <c r="R100" s="64">
        <f>+L100+VLOOKUP(A100,'Change in Proportion Layers'!$A$8:$Y$324,4,FALSE)+VLOOKUP(A100,'Change in Proportion Layers'!$A$8:$Y$324,11,FALSE)+VLOOKUP(A100,'Change in Proportion Layers'!$A$8:$Y$324,17,FALSE)+VLOOKUP(A100,'Change in Proportion Layers'!$A$8:$Y$324,22,FALSE)</f>
        <v>-94055</v>
      </c>
      <c r="S100" s="64">
        <f>+M100+VLOOKUP(A100,'Change in Proportion Layers'!$A$8:$Y$324,5,FALSE)+VLOOKUP(A100,'Change in Proportion Layers'!$A$8:$Y$324,12,FALSE)+VLOOKUP(A100,'Change in Proportion Layers'!$A$8:$Y$324,18,FALSE)</f>
        <v>-19641</v>
      </c>
      <c r="T100" s="64">
        <f>+N100+VLOOKUP(A100,'Change in Proportion Layers'!$A$8:$Y$324,6,FALSE)+VLOOKUP(A100,'Change in Proportion Layers'!$A$8:$Y$324,13,FALSE)</f>
        <v>-83583</v>
      </c>
      <c r="U100" s="64">
        <f>+O100+VLOOKUP(A100,'Change in Proportion Layers'!$A$8:$Y$324,7,FALSE)-1</f>
        <v>-27766</v>
      </c>
      <c r="W100" s="64">
        <f>('OPEB Amounts_Report'!H99-'OPEB Amounts_Report'!M99)</f>
        <v>-49155</v>
      </c>
      <c r="X100" s="129">
        <f>SUM(Q100:U100)-('OPEB Amounts_Report'!H100-'OPEB Amounts_Report'!M100)</f>
        <v>0</v>
      </c>
    </row>
    <row r="101" spans="1:24">
      <c r="A101" s="184">
        <v>11101</v>
      </c>
      <c r="B101" s="185" t="s">
        <v>91</v>
      </c>
      <c r="C101" s="63">
        <f t="shared" si="1"/>
        <v>-3679473</v>
      </c>
      <c r="D101" s="63">
        <f t="shared" si="1"/>
        <v>-2570291</v>
      </c>
      <c r="E101" s="63">
        <f t="shared" si="1"/>
        <v>-1011500</v>
      </c>
      <c r="F101" s="63">
        <f t="shared" si="1"/>
        <v>-1895687</v>
      </c>
      <c r="G101" s="63">
        <f t="shared" si="1"/>
        <v>-883026</v>
      </c>
      <c r="I101" s="186"/>
      <c r="K101" s="64">
        <f>ROUND(VLOOKUP($A101,'Contribution Allocation_Report'!$A$9:$D$311,4,FALSE)*$K$326,0)</f>
        <v>-3175608</v>
      </c>
      <c r="L101" s="64">
        <f>ROUND(VLOOKUP($A101,'Contribution Allocation_Report'!$A$9:$D$311,4,FALSE)*$L$326,0)</f>
        <v>-2307575</v>
      </c>
      <c r="M101" s="64">
        <f>ROUND(VLOOKUP($A101,'Contribution Allocation_Report'!$A$9:$D$311,4,FALSE)*$M$326,0)</f>
        <v>-1392542</v>
      </c>
      <c r="N101" s="64">
        <f>ROUND(VLOOKUP($A101,'Contribution Allocation_Report'!$A$9:$D$311,4,FALSE)*$N$326,0)</f>
        <v>-2099494</v>
      </c>
      <c r="O101" s="64">
        <f>ROUND(VLOOKUP($A101,'Contribution Allocation_Report'!$A$9:$D$311,4,FALSE)*$O$326,0)</f>
        <v>-1196017</v>
      </c>
      <c r="Q101" s="64">
        <f>+K101+VLOOKUP(A101,'Change in Proportion Layers'!$A$8:$N$324,3,FALSE)+VLOOKUP(A101,'Change in Proportion Layers'!$A$8:$Y$324,10,FALSE)+VLOOKUP(A101,'Change in Proportion Layers'!$A$8:$Y$324,16,FALSE)+VLOOKUP(A101,'Change in Proportion Layers'!$A$8:$Y$324,21,FALSE)+VLOOKUP(A101,'Change in Proportion Layers'!$A$8:$Y$324,25,FALSE)</f>
        <v>-3679473</v>
      </c>
      <c r="R101" s="64">
        <f>+L101+VLOOKUP(A101,'Change in Proportion Layers'!$A$8:$Y$324,4,FALSE)+VLOOKUP(A101,'Change in Proportion Layers'!$A$8:$Y$324,11,FALSE)+VLOOKUP(A101,'Change in Proportion Layers'!$A$8:$Y$324,17,FALSE)+VLOOKUP(A101,'Change in Proportion Layers'!$A$8:$Y$324,22,FALSE)</f>
        <v>-2570291</v>
      </c>
      <c r="S101" s="64">
        <f>+M101+VLOOKUP(A101,'Change in Proportion Layers'!$A$8:$Y$324,5,FALSE)+VLOOKUP(A101,'Change in Proportion Layers'!$A$8:$Y$324,12,FALSE)+VLOOKUP(A101,'Change in Proportion Layers'!$A$8:$Y$324,18,FALSE)</f>
        <v>-1011500</v>
      </c>
      <c r="T101" s="64">
        <f>+N101+VLOOKUP(A101,'Change in Proportion Layers'!$A$8:$Y$324,6,FALSE)+VLOOKUP(A101,'Change in Proportion Layers'!$A$8:$Y$324,13,FALSE)</f>
        <v>-1895687</v>
      </c>
      <c r="U101" s="64">
        <f>+O101+VLOOKUP(A101,'Change in Proportion Layers'!$A$8:$Y$324,7,FALSE)</f>
        <v>-883026</v>
      </c>
      <c r="W101" s="64">
        <f>('OPEB Amounts_Report'!H100-'OPEB Amounts_Report'!M100)</f>
        <v>-392525</v>
      </c>
      <c r="X101" s="129">
        <f>SUM(Q101:U101)-('OPEB Amounts_Report'!H101-'OPEB Amounts_Report'!M101)</f>
        <v>0</v>
      </c>
    </row>
    <row r="102" spans="1:24">
      <c r="A102" s="187">
        <v>11102</v>
      </c>
      <c r="B102" s="188" t="s">
        <v>90</v>
      </c>
      <c r="C102" s="5">
        <f t="shared" si="1"/>
        <v>-1240267</v>
      </c>
      <c r="D102" s="5">
        <f t="shared" si="1"/>
        <v>-955338</v>
      </c>
      <c r="E102" s="5">
        <f t="shared" si="1"/>
        <v>-632757</v>
      </c>
      <c r="F102" s="5">
        <f t="shared" si="1"/>
        <v>-657267</v>
      </c>
      <c r="G102" s="5">
        <f t="shared" si="1"/>
        <v>-308443</v>
      </c>
      <c r="I102" s="186"/>
      <c r="K102" s="64">
        <f>ROUND(VLOOKUP($A102,'Contribution Allocation_Report'!$A$9:$D$311,4,FALSE)*$K$326,0)</f>
        <v>-966490</v>
      </c>
      <c r="L102" s="64">
        <f>ROUND(VLOOKUP($A102,'Contribution Allocation_Report'!$A$9:$D$311,4,FALSE)*$L$326,0)</f>
        <v>-702306</v>
      </c>
      <c r="M102" s="64">
        <f>ROUND(VLOOKUP($A102,'Contribution Allocation_Report'!$A$9:$D$311,4,FALSE)*$M$326,0)</f>
        <v>-423817</v>
      </c>
      <c r="N102" s="64">
        <f>ROUND(VLOOKUP($A102,'Contribution Allocation_Report'!$A$9:$D$311,4,FALSE)*$N$326,0)</f>
        <v>-638977</v>
      </c>
      <c r="O102" s="64">
        <f>ROUND(VLOOKUP($A102,'Contribution Allocation_Report'!$A$9:$D$311,4,FALSE)*$O$326,0)</f>
        <v>-364005</v>
      </c>
      <c r="Q102" s="64">
        <f>+K102+VLOOKUP(A102,'Change in Proportion Layers'!$A$8:$N$324,3,FALSE)+VLOOKUP(A102,'Change in Proportion Layers'!$A$8:$Y$324,10,FALSE)+VLOOKUP(A102,'Change in Proportion Layers'!$A$8:$Y$324,16,FALSE)+VLOOKUP(A102,'Change in Proportion Layers'!$A$8:$Y$324,21,FALSE)+VLOOKUP(A102,'Change in Proportion Layers'!$A$8:$Y$324,25,FALSE)</f>
        <v>-1240267</v>
      </c>
      <c r="R102" s="64">
        <f>+L102+VLOOKUP(A102,'Change in Proportion Layers'!$A$8:$Y$324,4,FALSE)+VLOOKUP(A102,'Change in Proportion Layers'!$A$8:$Y$324,11,FALSE)+VLOOKUP(A102,'Change in Proportion Layers'!$A$8:$Y$324,17,FALSE)+VLOOKUP(A102,'Change in Proportion Layers'!$A$8:$Y$324,22,FALSE)</f>
        <v>-955338</v>
      </c>
      <c r="S102" s="64">
        <f>+M102+VLOOKUP(A102,'Change in Proportion Layers'!$A$8:$Y$324,5,FALSE)+VLOOKUP(A102,'Change in Proportion Layers'!$A$8:$Y$324,12,FALSE)+VLOOKUP(A102,'Change in Proportion Layers'!$A$8:$Y$324,18,FALSE)</f>
        <v>-632757</v>
      </c>
      <c r="T102" s="64">
        <f>+N102+VLOOKUP(A102,'Change in Proportion Layers'!$A$8:$Y$324,6,FALSE)+VLOOKUP(A102,'Change in Proportion Layers'!$A$8:$Y$324,13,FALSE)</f>
        <v>-657267</v>
      </c>
      <c r="U102" s="64">
        <f>+O102+VLOOKUP(A102,'Change in Proportion Layers'!$A$8:$Y$324,7,FALSE)</f>
        <v>-308443</v>
      </c>
      <c r="W102" s="64">
        <f>('OPEB Amounts_Report'!H101-'OPEB Amounts_Report'!M101)</f>
        <v>-10039977</v>
      </c>
      <c r="X102" s="129">
        <f>SUM(Q102:U102)-('OPEB Amounts_Report'!H102-'OPEB Amounts_Report'!M102)</f>
        <v>0</v>
      </c>
    </row>
    <row r="103" spans="1:24">
      <c r="A103" s="184">
        <v>3100</v>
      </c>
      <c r="B103" s="185" t="s">
        <v>92</v>
      </c>
      <c r="C103" s="63">
        <f t="shared" si="1"/>
        <v>-1779729</v>
      </c>
      <c r="D103" s="63">
        <f t="shared" si="1"/>
        <v>-1322365</v>
      </c>
      <c r="E103" s="63">
        <f t="shared" si="1"/>
        <v>-823742</v>
      </c>
      <c r="F103" s="63">
        <f t="shared" si="1"/>
        <v>-1169606</v>
      </c>
      <c r="G103" s="63">
        <f t="shared" si="1"/>
        <v>-872404</v>
      </c>
      <c r="I103" s="186"/>
      <c r="K103" s="64">
        <f>ROUND(VLOOKUP($A103,'Contribution Allocation_Report'!$A$9:$D$311,4,FALSE)*$K$326,0)</f>
        <v>-2031303</v>
      </c>
      <c r="L103" s="64">
        <f>ROUND(VLOOKUP($A103,'Contribution Allocation_Report'!$A$9:$D$311,4,FALSE)*$L$326,0)</f>
        <v>-1476059</v>
      </c>
      <c r="M103" s="64">
        <f>ROUND(VLOOKUP($A103,'Contribution Allocation_Report'!$A$9:$D$311,4,FALSE)*$M$326,0)</f>
        <v>-890750</v>
      </c>
      <c r="N103" s="64">
        <f>ROUND(VLOOKUP($A103,'Contribution Allocation_Report'!$A$9:$D$311,4,FALSE)*$N$326,0)</f>
        <v>-1342958</v>
      </c>
      <c r="O103" s="64">
        <f>ROUND(VLOOKUP($A103,'Contribution Allocation_Report'!$A$9:$D$311,4,FALSE)*$O$326,0)</f>
        <v>-765042</v>
      </c>
      <c r="Q103" s="64">
        <f>+K103+VLOOKUP(A103,'Change in Proportion Layers'!$A$8:$N$324,3,FALSE)+VLOOKUP(A103,'Change in Proportion Layers'!$A$8:$Y$324,10,FALSE)+VLOOKUP(A103,'Change in Proportion Layers'!$A$8:$Y$324,16,FALSE)+VLOOKUP(A103,'Change in Proportion Layers'!$A$8:$Y$324,21,FALSE)+VLOOKUP(A103,'Change in Proportion Layers'!$A$8:$Y$324,25,FALSE)</f>
        <v>-1779729</v>
      </c>
      <c r="R103" s="64">
        <f>+L103+VLOOKUP(A103,'Change in Proportion Layers'!$A$8:$Y$324,4,FALSE)+VLOOKUP(A103,'Change in Proportion Layers'!$A$8:$Y$324,11,FALSE)+VLOOKUP(A103,'Change in Proportion Layers'!$A$8:$Y$324,17,FALSE)+VLOOKUP(A103,'Change in Proportion Layers'!$A$8:$Y$324,22,FALSE)</f>
        <v>-1322365</v>
      </c>
      <c r="S103" s="64">
        <f>+M103+VLOOKUP(A103,'Change in Proportion Layers'!$A$8:$Y$324,5,FALSE)+VLOOKUP(A103,'Change in Proportion Layers'!$A$8:$Y$324,12,FALSE)+VLOOKUP(A103,'Change in Proportion Layers'!$A$8:$Y$324,18,FALSE)</f>
        <v>-823742</v>
      </c>
      <c r="T103" s="64">
        <f>+N103+VLOOKUP(A103,'Change in Proportion Layers'!$A$8:$Y$324,6,FALSE)+VLOOKUP(A103,'Change in Proportion Layers'!$A$8:$Y$324,13,FALSE)</f>
        <v>-1169606</v>
      </c>
      <c r="U103" s="64">
        <f>+O103+VLOOKUP(A103,'Change in Proportion Layers'!$A$8:$Y$324,7,FALSE)-1</f>
        <v>-872404</v>
      </c>
      <c r="W103" s="64">
        <f>('OPEB Amounts_Report'!H102-'OPEB Amounts_Report'!M102)</f>
        <v>-3794072</v>
      </c>
      <c r="X103" s="129">
        <f>SUM(Q103:U103)-('OPEB Amounts_Report'!H103-'OPEB Amounts_Report'!M103)</f>
        <v>0</v>
      </c>
    </row>
    <row r="104" spans="1:24">
      <c r="A104" s="187">
        <v>2323</v>
      </c>
      <c r="B104" s="188" t="s">
        <v>93</v>
      </c>
      <c r="C104" s="5">
        <f t="shared" si="1"/>
        <v>-171970</v>
      </c>
      <c r="D104" s="5">
        <f t="shared" si="1"/>
        <v>-105095</v>
      </c>
      <c r="E104" s="5">
        <f t="shared" si="1"/>
        <v>-39594</v>
      </c>
      <c r="F104" s="5">
        <f t="shared" si="1"/>
        <v>-126702</v>
      </c>
      <c r="G104" s="5">
        <f t="shared" si="1"/>
        <v>-69175</v>
      </c>
      <c r="I104" s="186"/>
      <c r="K104" s="64">
        <f>ROUND(VLOOKUP($A104,'Contribution Allocation_Report'!$A$9:$D$311,4,FALSE)*$K$326,0)</f>
        <v>-207161</v>
      </c>
      <c r="L104" s="64">
        <f>ROUND(VLOOKUP($A104,'Contribution Allocation_Report'!$A$9:$D$311,4,FALSE)*$L$326,0)</f>
        <v>-150535</v>
      </c>
      <c r="M104" s="64">
        <f>ROUND(VLOOKUP($A104,'Contribution Allocation_Report'!$A$9:$D$311,4,FALSE)*$M$326,0)</f>
        <v>-90843</v>
      </c>
      <c r="N104" s="64">
        <f>ROUND(VLOOKUP($A104,'Contribution Allocation_Report'!$A$9:$D$311,4,FALSE)*$N$326,0)</f>
        <v>-136961</v>
      </c>
      <c r="O104" s="64">
        <f>ROUND(VLOOKUP($A104,'Contribution Allocation_Report'!$A$9:$D$311,4,FALSE)*$O$326,0)</f>
        <v>-78022</v>
      </c>
      <c r="Q104" s="64">
        <f>+K104+VLOOKUP(A104,'Change in Proportion Layers'!$A$8:$N$324,3,FALSE)+VLOOKUP(A104,'Change in Proportion Layers'!$A$8:$Y$324,10,FALSE)+VLOOKUP(A104,'Change in Proportion Layers'!$A$8:$Y$324,16,FALSE)+VLOOKUP(A104,'Change in Proportion Layers'!$A$8:$Y$324,21,FALSE)+VLOOKUP(A104,'Change in Proportion Layers'!$A$8:$Y$324,25,FALSE)</f>
        <v>-171970</v>
      </c>
      <c r="R104" s="64">
        <f>+L104+VLOOKUP(A104,'Change in Proportion Layers'!$A$8:$Y$324,4,FALSE)+VLOOKUP(A104,'Change in Proportion Layers'!$A$8:$Y$324,11,FALSE)+VLOOKUP(A104,'Change in Proportion Layers'!$A$8:$Y$324,17,FALSE)+VLOOKUP(A104,'Change in Proportion Layers'!$A$8:$Y$324,22,FALSE)</f>
        <v>-105095</v>
      </c>
      <c r="S104" s="64">
        <f>+M104+VLOOKUP(A104,'Change in Proportion Layers'!$A$8:$Y$324,5,FALSE)+VLOOKUP(A104,'Change in Proportion Layers'!$A$8:$Y$324,12,FALSE)+VLOOKUP(A104,'Change in Proportion Layers'!$A$8:$Y$324,18,FALSE)</f>
        <v>-39594</v>
      </c>
      <c r="T104" s="64">
        <f>+N104+VLOOKUP(A104,'Change in Proportion Layers'!$A$8:$Y$324,6,FALSE)+VLOOKUP(A104,'Change in Proportion Layers'!$A$8:$Y$324,13,FALSE)</f>
        <v>-126702</v>
      </c>
      <c r="U104" s="64">
        <f>+O104+VLOOKUP(A104,'Change in Proportion Layers'!$A$8:$Y$324,7,FALSE)-1</f>
        <v>-69175</v>
      </c>
      <c r="W104" s="64">
        <f>('OPEB Amounts_Report'!H103-'OPEB Amounts_Report'!M103)</f>
        <v>-5967846</v>
      </c>
      <c r="X104" s="129">
        <f>SUM(Q104:U104)-('OPEB Amounts_Report'!H104-'OPEB Amounts_Report'!M104)</f>
        <v>0</v>
      </c>
    </row>
    <row r="105" spans="1:24">
      <c r="A105" s="184">
        <v>11034</v>
      </c>
      <c r="B105" s="185" t="s">
        <v>94</v>
      </c>
      <c r="C105" s="63">
        <f t="shared" si="1"/>
        <v>-92264</v>
      </c>
      <c r="D105" s="63">
        <f t="shared" si="1"/>
        <v>-60178</v>
      </c>
      <c r="E105" s="63">
        <f t="shared" si="1"/>
        <v>-62410</v>
      </c>
      <c r="F105" s="63">
        <f t="shared" si="1"/>
        <v>-106348</v>
      </c>
      <c r="G105" s="63">
        <f t="shared" si="1"/>
        <v>-62512</v>
      </c>
      <c r="I105" s="186"/>
      <c r="K105" s="64">
        <f>ROUND(VLOOKUP($A105,'Contribution Allocation_Report'!$A$9:$D$311,4,FALSE)*$K$326,0)</f>
        <v>-139074</v>
      </c>
      <c r="L105" s="64">
        <f>ROUND(VLOOKUP($A105,'Contribution Allocation_Report'!$A$9:$D$311,4,FALSE)*$L$326,0)</f>
        <v>-101059</v>
      </c>
      <c r="M105" s="64">
        <f>ROUND(VLOOKUP($A105,'Contribution Allocation_Report'!$A$9:$D$311,4,FALSE)*$M$326,0)</f>
        <v>-60986</v>
      </c>
      <c r="N105" s="64">
        <f>ROUND(VLOOKUP($A105,'Contribution Allocation_Report'!$A$9:$D$311,4,FALSE)*$N$326,0)</f>
        <v>-91946</v>
      </c>
      <c r="O105" s="64">
        <f>ROUND(VLOOKUP($A105,'Contribution Allocation_Report'!$A$9:$D$311,4,FALSE)*$O$326,0)</f>
        <v>-52379</v>
      </c>
      <c r="Q105" s="64">
        <f>+K105+VLOOKUP(A105,'Change in Proportion Layers'!$A$8:$N$324,3,FALSE)+VLOOKUP(A105,'Change in Proportion Layers'!$A$8:$Y$324,10,FALSE)+VLOOKUP(A105,'Change in Proportion Layers'!$A$8:$Y$324,16,FALSE)+VLOOKUP(A105,'Change in Proportion Layers'!$A$8:$Y$324,21,FALSE)+VLOOKUP(A105,'Change in Proportion Layers'!$A$8:$Y$324,25,FALSE)</f>
        <v>-92264</v>
      </c>
      <c r="R105" s="64">
        <f>+L105+VLOOKUP(A105,'Change in Proportion Layers'!$A$8:$Y$324,4,FALSE)+VLOOKUP(A105,'Change in Proportion Layers'!$A$8:$Y$324,11,FALSE)+VLOOKUP(A105,'Change in Proportion Layers'!$A$8:$Y$324,17,FALSE)+VLOOKUP(A105,'Change in Proportion Layers'!$A$8:$Y$324,22,FALSE)</f>
        <v>-60178</v>
      </c>
      <c r="S105" s="64">
        <f>+M105+VLOOKUP(A105,'Change in Proportion Layers'!$A$8:$Y$324,5,FALSE)+VLOOKUP(A105,'Change in Proportion Layers'!$A$8:$Y$324,12,FALSE)+VLOOKUP(A105,'Change in Proportion Layers'!$A$8:$Y$324,18,FALSE)</f>
        <v>-62410</v>
      </c>
      <c r="T105" s="64">
        <f>+N105+VLOOKUP(A105,'Change in Proportion Layers'!$A$8:$Y$324,6,FALSE)+VLOOKUP(A105,'Change in Proportion Layers'!$A$8:$Y$324,13,FALSE)</f>
        <v>-106348</v>
      </c>
      <c r="U105" s="64">
        <f>+O105+VLOOKUP(A105,'Change in Proportion Layers'!$A$8:$Y$324,7,FALSE)</f>
        <v>-62512</v>
      </c>
      <c r="W105" s="64">
        <f>('OPEB Amounts_Report'!H104-'OPEB Amounts_Report'!M104)</f>
        <v>-512536</v>
      </c>
      <c r="X105" s="129">
        <f>SUM(Q105:U105)-('OPEB Amounts_Report'!H105-'OPEB Amounts_Report'!M105)</f>
        <v>0</v>
      </c>
    </row>
    <row r="106" spans="1:24">
      <c r="A106" s="187">
        <v>17054</v>
      </c>
      <c r="B106" s="188" t="s">
        <v>95</v>
      </c>
      <c r="C106" s="5">
        <f t="shared" si="1"/>
        <v>-1442827</v>
      </c>
      <c r="D106" s="5">
        <f t="shared" si="1"/>
        <v>-1648967</v>
      </c>
      <c r="E106" s="5">
        <f t="shared" si="1"/>
        <v>-1000480</v>
      </c>
      <c r="F106" s="5">
        <f t="shared" si="1"/>
        <v>-1557875</v>
      </c>
      <c r="G106" s="5">
        <f t="shared" si="1"/>
        <v>-939100</v>
      </c>
      <c r="I106" s="186"/>
      <c r="K106" s="64">
        <f>ROUND(VLOOKUP($A106,'Contribution Allocation_Report'!$A$9:$D$311,4,FALSE)*$K$326,0)</f>
        <v>-2177666</v>
      </c>
      <c r="L106" s="64">
        <f>ROUND(VLOOKUP($A106,'Contribution Allocation_Report'!$A$9:$D$311,4,FALSE)*$L$326,0)</f>
        <v>-1582415</v>
      </c>
      <c r="M106" s="64">
        <f>ROUND(VLOOKUP($A106,'Contribution Allocation_Report'!$A$9:$D$311,4,FALSE)*$M$326,0)</f>
        <v>-954932</v>
      </c>
      <c r="N106" s="64">
        <f>ROUND(VLOOKUP($A106,'Contribution Allocation_Report'!$A$9:$D$311,4,FALSE)*$N$326,0)</f>
        <v>-1439723</v>
      </c>
      <c r="O106" s="64">
        <f>ROUND(VLOOKUP($A106,'Contribution Allocation_Report'!$A$9:$D$311,4,FALSE)*$O$326,0)</f>
        <v>-820166</v>
      </c>
      <c r="Q106" s="64">
        <f>+K106+VLOOKUP(A106,'Change in Proportion Layers'!$A$8:$N$324,3,FALSE)+VLOOKUP(A106,'Change in Proportion Layers'!$A$8:$Y$324,10,FALSE)+VLOOKUP(A106,'Change in Proportion Layers'!$A$8:$Y$324,16,FALSE)+VLOOKUP(A106,'Change in Proportion Layers'!$A$8:$Y$324,21,FALSE)+VLOOKUP(A106,'Change in Proportion Layers'!$A$8:$Y$324,25,FALSE)</f>
        <v>-1442827</v>
      </c>
      <c r="R106" s="64">
        <f>+L106+VLOOKUP(A106,'Change in Proportion Layers'!$A$8:$Y$324,4,FALSE)+VLOOKUP(A106,'Change in Proportion Layers'!$A$8:$Y$324,11,FALSE)+VLOOKUP(A106,'Change in Proportion Layers'!$A$8:$Y$324,17,FALSE)+VLOOKUP(A106,'Change in Proportion Layers'!$A$8:$Y$324,22,FALSE)</f>
        <v>-1648967</v>
      </c>
      <c r="S106" s="64">
        <f>+M106+VLOOKUP(A106,'Change in Proportion Layers'!$A$8:$Y$324,5,FALSE)+VLOOKUP(A106,'Change in Proportion Layers'!$A$8:$Y$324,12,FALSE)+VLOOKUP(A106,'Change in Proportion Layers'!$A$8:$Y$324,18,FALSE)</f>
        <v>-1000480</v>
      </c>
      <c r="T106" s="64">
        <f>+N106+VLOOKUP(A106,'Change in Proportion Layers'!$A$8:$Y$324,6,FALSE)+VLOOKUP(A106,'Change in Proportion Layers'!$A$8:$Y$324,13,FALSE)</f>
        <v>-1557875</v>
      </c>
      <c r="U106" s="64">
        <f>+O106+VLOOKUP(A106,'Change in Proportion Layers'!$A$8:$Y$324,7,FALSE)-2</f>
        <v>-939100</v>
      </c>
      <c r="W106" s="64">
        <f>('OPEB Amounts_Report'!H105-'OPEB Amounts_Report'!M105)</f>
        <v>-383712</v>
      </c>
      <c r="X106" s="129">
        <f>SUM(Q106:U106)-('OPEB Amounts_Report'!H106-'OPEB Amounts_Report'!M106)</f>
        <v>0</v>
      </c>
    </row>
    <row r="107" spans="1:24">
      <c r="A107" s="184">
        <v>22065</v>
      </c>
      <c r="B107" s="185" t="s">
        <v>96</v>
      </c>
      <c r="C107" s="63">
        <f t="shared" si="1"/>
        <v>-433493</v>
      </c>
      <c r="D107" s="63">
        <f t="shared" si="1"/>
        <v>-293784</v>
      </c>
      <c r="E107" s="63">
        <f t="shared" si="1"/>
        <v>-149334</v>
      </c>
      <c r="F107" s="63">
        <f t="shared" si="1"/>
        <v>-303509</v>
      </c>
      <c r="G107" s="63">
        <f t="shared" si="1"/>
        <v>-163035</v>
      </c>
      <c r="I107" s="186"/>
      <c r="K107" s="64">
        <f>ROUND(VLOOKUP($A107,'Contribution Allocation_Report'!$A$9:$D$311,4,FALSE)*$K$326,0)</f>
        <v>-487314</v>
      </c>
      <c r="L107" s="64">
        <f>ROUND(VLOOKUP($A107,'Contribution Allocation_Report'!$A$9:$D$311,4,FALSE)*$L$326,0)</f>
        <v>-354110</v>
      </c>
      <c r="M107" s="64">
        <f>ROUND(VLOOKUP($A107,'Contribution Allocation_Report'!$A$9:$D$311,4,FALSE)*$M$326,0)</f>
        <v>-213693</v>
      </c>
      <c r="N107" s="64">
        <f>ROUND(VLOOKUP($A107,'Contribution Allocation_Report'!$A$9:$D$311,4,FALSE)*$N$326,0)</f>
        <v>-322178</v>
      </c>
      <c r="O107" s="64">
        <f>ROUND(VLOOKUP($A107,'Contribution Allocation_Report'!$A$9:$D$311,4,FALSE)*$O$326,0)</f>
        <v>-183535</v>
      </c>
      <c r="Q107" s="64">
        <f>+K107+VLOOKUP(A107,'Change in Proportion Layers'!$A$8:$N$324,3,FALSE)+VLOOKUP(A107,'Change in Proportion Layers'!$A$8:$Y$324,10,FALSE)+VLOOKUP(A107,'Change in Proportion Layers'!$A$8:$Y$324,16,FALSE)+VLOOKUP(A107,'Change in Proportion Layers'!$A$8:$Y$324,21,FALSE)+VLOOKUP(A107,'Change in Proportion Layers'!$A$8:$Y$324,25,FALSE)</f>
        <v>-433493</v>
      </c>
      <c r="R107" s="64">
        <f>+L107+VLOOKUP(A107,'Change in Proportion Layers'!$A$8:$Y$324,4,FALSE)+VLOOKUP(A107,'Change in Proportion Layers'!$A$8:$Y$324,11,FALSE)+VLOOKUP(A107,'Change in Proportion Layers'!$A$8:$Y$324,17,FALSE)+VLOOKUP(A107,'Change in Proportion Layers'!$A$8:$Y$324,22,FALSE)</f>
        <v>-293784</v>
      </c>
      <c r="S107" s="64">
        <f>+M107+VLOOKUP(A107,'Change in Proportion Layers'!$A$8:$Y$324,5,FALSE)+VLOOKUP(A107,'Change in Proportion Layers'!$A$8:$Y$324,12,FALSE)+VLOOKUP(A107,'Change in Proportion Layers'!$A$8:$Y$324,18,FALSE)</f>
        <v>-149334</v>
      </c>
      <c r="T107" s="64">
        <f>+N107+VLOOKUP(A107,'Change in Proportion Layers'!$A$8:$Y$324,6,FALSE)+VLOOKUP(A107,'Change in Proportion Layers'!$A$8:$Y$324,13,FALSE)</f>
        <v>-303509</v>
      </c>
      <c r="U107" s="64">
        <f>+O107+VLOOKUP(A107,'Change in Proportion Layers'!$A$8:$Y$324,7,FALSE)-1</f>
        <v>-163035</v>
      </c>
      <c r="W107" s="64">
        <f>('OPEB Amounts_Report'!H106-'OPEB Amounts_Report'!M106)</f>
        <v>-6589249</v>
      </c>
      <c r="X107" s="129">
        <f>SUM(Q107:U107)-('OPEB Amounts_Report'!H107-'OPEB Amounts_Report'!M107)</f>
        <v>0</v>
      </c>
    </row>
    <row r="108" spans="1:24">
      <c r="A108" s="187">
        <v>22201</v>
      </c>
      <c r="B108" s="188" t="s">
        <v>97</v>
      </c>
      <c r="C108" s="5">
        <f t="shared" si="1"/>
        <v>-111820</v>
      </c>
      <c r="D108" s="5">
        <f t="shared" si="1"/>
        <v>-78384</v>
      </c>
      <c r="E108" s="5">
        <f t="shared" si="1"/>
        <v>-65514</v>
      </c>
      <c r="F108" s="5">
        <f t="shared" si="1"/>
        <v>-150925</v>
      </c>
      <c r="G108" s="5">
        <f t="shared" si="1"/>
        <v>-72690</v>
      </c>
      <c r="I108" s="186"/>
      <c r="K108" s="64">
        <f>ROUND(VLOOKUP($A108,'Contribution Allocation_Report'!$A$9:$D$311,4,FALSE)*$K$326,0)</f>
        <v>-249990</v>
      </c>
      <c r="L108" s="64">
        <f>ROUND(VLOOKUP($A108,'Contribution Allocation_Report'!$A$9:$D$311,4,FALSE)*$L$326,0)</f>
        <v>-181657</v>
      </c>
      <c r="M108" s="64">
        <f>ROUND(VLOOKUP($A108,'Contribution Allocation_Report'!$A$9:$D$311,4,FALSE)*$M$326,0)</f>
        <v>-109624</v>
      </c>
      <c r="N108" s="64">
        <f>ROUND(VLOOKUP($A108,'Contribution Allocation_Report'!$A$9:$D$311,4,FALSE)*$N$326,0)</f>
        <v>-165276</v>
      </c>
      <c r="O108" s="64">
        <f>ROUND(VLOOKUP($A108,'Contribution Allocation_Report'!$A$9:$D$311,4,FALSE)*$O$326,0)</f>
        <v>-94153</v>
      </c>
      <c r="Q108" s="64">
        <f>+K108+VLOOKUP(A108,'Change in Proportion Layers'!$A$8:$N$324,3,FALSE)+VLOOKUP(A108,'Change in Proportion Layers'!$A$8:$Y$324,10,FALSE)+VLOOKUP(A108,'Change in Proportion Layers'!$A$8:$Y$324,16,FALSE)+VLOOKUP(A108,'Change in Proportion Layers'!$A$8:$Y$324,21,FALSE)+VLOOKUP(A108,'Change in Proportion Layers'!$A$8:$Y$324,25,FALSE)</f>
        <v>-111820</v>
      </c>
      <c r="R108" s="64">
        <f>+L108+VLOOKUP(A108,'Change in Proportion Layers'!$A$8:$Y$324,4,FALSE)+VLOOKUP(A108,'Change in Proportion Layers'!$A$8:$Y$324,11,FALSE)+VLOOKUP(A108,'Change in Proportion Layers'!$A$8:$Y$324,17,FALSE)+VLOOKUP(A108,'Change in Proportion Layers'!$A$8:$Y$324,22,FALSE)</f>
        <v>-78384</v>
      </c>
      <c r="S108" s="64">
        <f>+M108+VLOOKUP(A108,'Change in Proportion Layers'!$A$8:$Y$324,5,FALSE)+VLOOKUP(A108,'Change in Proportion Layers'!$A$8:$Y$324,12,FALSE)+VLOOKUP(A108,'Change in Proportion Layers'!$A$8:$Y$324,18,FALSE)</f>
        <v>-65514</v>
      </c>
      <c r="T108" s="64">
        <f>+N108+VLOOKUP(A108,'Change in Proportion Layers'!$A$8:$Y$324,6,FALSE)+VLOOKUP(A108,'Change in Proportion Layers'!$A$8:$Y$324,13,FALSE)</f>
        <v>-150925</v>
      </c>
      <c r="U108" s="64">
        <f>+O108+VLOOKUP(A108,'Change in Proportion Layers'!$A$8:$Y$324,7,FALSE)+1</f>
        <v>-72690</v>
      </c>
      <c r="W108" s="64">
        <f>('OPEB Amounts_Report'!H107-'OPEB Amounts_Report'!M107)</f>
        <v>-1343155</v>
      </c>
      <c r="X108" s="129">
        <f>SUM(Q108:U108)-('OPEB Amounts_Report'!H108-'OPEB Amounts_Report'!M108)</f>
        <v>0</v>
      </c>
    </row>
    <row r="109" spans="1:24">
      <c r="A109" s="184">
        <v>6016</v>
      </c>
      <c r="B109" s="185" t="s">
        <v>98</v>
      </c>
      <c r="C109" s="63">
        <f t="shared" si="1"/>
        <v>-399531</v>
      </c>
      <c r="D109" s="63">
        <f t="shared" si="1"/>
        <v>-264138</v>
      </c>
      <c r="E109" s="63">
        <f t="shared" si="1"/>
        <v>-141961</v>
      </c>
      <c r="F109" s="63">
        <f t="shared" si="1"/>
        <v>-321959</v>
      </c>
      <c r="G109" s="63">
        <f t="shared" si="1"/>
        <v>-145657</v>
      </c>
      <c r="I109" s="186"/>
      <c r="K109" s="64">
        <f>ROUND(VLOOKUP($A109,'Contribution Allocation_Report'!$A$9:$D$311,4,FALSE)*$K$326,0)</f>
        <v>-509164</v>
      </c>
      <c r="L109" s="64">
        <f>ROUND(VLOOKUP($A109,'Contribution Allocation_Report'!$A$9:$D$311,4,FALSE)*$L$326,0)</f>
        <v>-369987</v>
      </c>
      <c r="M109" s="64">
        <f>ROUND(VLOOKUP($A109,'Contribution Allocation_Report'!$A$9:$D$311,4,FALSE)*$M$326,0)</f>
        <v>-223274</v>
      </c>
      <c r="N109" s="64">
        <f>ROUND(VLOOKUP($A109,'Contribution Allocation_Report'!$A$9:$D$311,4,FALSE)*$N$326,0)</f>
        <v>-336624</v>
      </c>
      <c r="O109" s="64">
        <f>ROUND(VLOOKUP($A109,'Contribution Allocation_Report'!$A$9:$D$311,4,FALSE)*$O$326,0)</f>
        <v>-191765</v>
      </c>
      <c r="Q109" s="64">
        <f>+K109+VLOOKUP(A109,'Change in Proportion Layers'!$A$8:$N$324,3,FALSE)+VLOOKUP(A109,'Change in Proportion Layers'!$A$8:$Y$324,10,FALSE)+VLOOKUP(A109,'Change in Proportion Layers'!$A$8:$Y$324,16,FALSE)+VLOOKUP(A109,'Change in Proportion Layers'!$A$8:$Y$324,21,FALSE)+VLOOKUP(A109,'Change in Proportion Layers'!$A$8:$Y$324,25,FALSE)</f>
        <v>-399531</v>
      </c>
      <c r="R109" s="64">
        <f>+L109+VLOOKUP(A109,'Change in Proportion Layers'!$A$8:$Y$324,4,FALSE)+VLOOKUP(A109,'Change in Proportion Layers'!$A$8:$Y$324,11,FALSE)+VLOOKUP(A109,'Change in Proportion Layers'!$A$8:$Y$324,17,FALSE)+VLOOKUP(A109,'Change in Proportion Layers'!$A$8:$Y$324,22,FALSE)</f>
        <v>-264138</v>
      </c>
      <c r="S109" s="64">
        <f>+M109+VLOOKUP(A109,'Change in Proportion Layers'!$A$8:$Y$324,5,FALSE)+VLOOKUP(A109,'Change in Proportion Layers'!$A$8:$Y$324,12,FALSE)+VLOOKUP(A109,'Change in Proportion Layers'!$A$8:$Y$324,18,FALSE)</f>
        <v>-141961</v>
      </c>
      <c r="T109" s="64">
        <f>+N109+VLOOKUP(A109,'Change in Proportion Layers'!$A$8:$Y$324,6,FALSE)+VLOOKUP(A109,'Change in Proportion Layers'!$A$8:$Y$324,13,FALSE)</f>
        <v>-321959</v>
      </c>
      <c r="U109" s="64">
        <f>+O109+VLOOKUP(A109,'Change in Proportion Layers'!$A$8:$Y$324,7,FALSE)-1</f>
        <v>-145657</v>
      </c>
      <c r="W109" s="64">
        <f>('OPEB Amounts_Report'!H108-'OPEB Amounts_Report'!M108)</f>
        <v>-479333</v>
      </c>
      <c r="X109" s="129">
        <f>SUM(Q109:U109)-('OPEB Amounts_Report'!H109-'OPEB Amounts_Report'!M109)</f>
        <v>0</v>
      </c>
    </row>
    <row r="110" spans="1:24">
      <c r="A110" s="187">
        <v>2432</v>
      </c>
      <c r="B110" s="188" t="s">
        <v>99</v>
      </c>
      <c r="C110" s="5">
        <f t="shared" si="1"/>
        <v>126730</v>
      </c>
      <c r="D110" s="5">
        <f t="shared" si="1"/>
        <v>218019</v>
      </c>
      <c r="E110" s="5">
        <f t="shared" si="1"/>
        <v>291520</v>
      </c>
      <c r="F110" s="5">
        <f t="shared" si="1"/>
        <v>99707</v>
      </c>
      <c r="G110" s="5">
        <f t="shared" si="1"/>
        <v>72756</v>
      </c>
      <c r="I110" s="186"/>
      <c r="K110" s="64">
        <f>ROUND(VLOOKUP($A110,'Contribution Allocation_Report'!$A$9:$D$311,4,FALSE)*$K$326,0)</f>
        <v>-531592</v>
      </c>
      <c r="L110" s="64">
        <f>ROUND(VLOOKUP($A110,'Contribution Allocation_Report'!$A$9:$D$311,4,FALSE)*$L$326,0)</f>
        <v>-386285</v>
      </c>
      <c r="M110" s="64">
        <f>ROUND(VLOOKUP($A110,'Contribution Allocation_Report'!$A$9:$D$311,4,FALSE)*$M$326,0)</f>
        <v>-233109</v>
      </c>
      <c r="N110" s="64">
        <f>ROUND(VLOOKUP($A110,'Contribution Allocation_Report'!$A$9:$D$311,4,FALSE)*$N$326,0)</f>
        <v>-351452</v>
      </c>
      <c r="O110" s="64">
        <f>ROUND(VLOOKUP($A110,'Contribution Allocation_Report'!$A$9:$D$311,4,FALSE)*$O$326,0)</f>
        <v>-200212</v>
      </c>
      <c r="Q110" s="64">
        <f>+K110+VLOOKUP(A110,'Change in Proportion Layers'!$A$8:$N$324,3,FALSE)+VLOOKUP(A110,'Change in Proportion Layers'!$A$8:$Y$324,10,FALSE)+VLOOKUP(A110,'Change in Proportion Layers'!$A$8:$Y$324,16,FALSE)+VLOOKUP(A110,'Change in Proportion Layers'!$A$8:$Y$324,21,FALSE)+VLOOKUP(A110,'Change in Proportion Layers'!$A$8:$Y$324,25,FALSE)</f>
        <v>126730</v>
      </c>
      <c r="R110" s="64">
        <f>+L110+VLOOKUP(A110,'Change in Proportion Layers'!$A$8:$Y$324,4,FALSE)+VLOOKUP(A110,'Change in Proportion Layers'!$A$8:$Y$324,11,FALSE)+VLOOKUP(A110,'Change in Proportion Layers'!$A$8:$Y$324,17,FALSE)+VLOOKUP(A110,'Change in Proportion Layers'!$A$8:$Y$324,22,FALSE)</f>
        <v>218019</v>
      </c>
      <c r="S110" s="64">
        <f>+M110+VLOOKUP(A110,'Change in Proportion Layers'!$A$8:$Y$324,5,FALSE)+VLOOKUP(A110,'Change in Proportion Layers'!$A$8:$Y$324,12,FALSE)+VLOOKUP(A110,'Change in Proportion Layers'!$A$8:$Y$324,18,FALSE)</f>
        <v>291520</v>
      </c>
      <c r="T110" s="64">
        <f>+N110+VLOOKUP(A110,'Change in Proportion Layers'!$A$8:$Y$324,6,FALSE)+VLOOKUP(A110,'Change in Proportion Layers'!$A$8:$Y$324,13,FALSE)</f>
        <v>99707</v>
      </c>
      <c r="U110" s="64">
        <f>+O110+VLOOKUP(A110,'Change in Proportion Layers'!$A$8:$Y$324,7,FALSE)</f>
        <v>72756</v>
      </c>
      <c r="W110" s="64">
        <f>('OPEB Amounts_Report'!H109-'OPEB Amounts_Report'!M109)</f>
        <v>-1273246</v>
      </c>
      <c r="X110" s="129">
        <f>SUM(Q110:U110)-('OPEB Amounts_Report'!H110-'OPEB Amounts_Report'!M110)</f>
        <v>0</v>
      </c>
    </row>
    <row r="111" spans="1:24">
      <c r="A111" s="184">
        <v>7440</v>
      </c>
      <c r="B111" s="185" t="s">
        <v>532</v>
      </c>
      <c r="C111" s="63">
        <f t="shared" si="1"/>
        <v>32134</v>
      </c>
      <c r="D111" s="63">
        <f t="shared" si="1"/>
        <v>46770</v>
      </c>
      <c r="E111" s="63">
        <f t="shared" si="1"/>
        <v>62199</v>
      </c>
      <c r="F111" s="63">
        <f t="shared" si="1"/>
        <v>50279</v>
      </c>
      <c r="G111" s="63">
        <f t="shared" si="1"/>
        <v>56085</v>
      </c>
      <c r="I111" s="186"/>
      <c r="K111" s="64">
        <f>ROUND(VLOOKUP($A111,'Contribution Allocation_Report'!$A$9:$D$311,4,FALSE)*$K$326,0)</f>
        <v>-53545</v>
      </c>
      <c r="L111" s="64">
        <f>ROUND(VLOOKUP($A111,'Contribution Allocation_Report'!$A$9:$D$311,4,FALSE)*$L$326,0)</f>
        <v>-38909</v>
      </c>
      <c r="M111" s="64">
        <f>ROUND(VLOOKUP($A111,'Contribution Allocation_Report'!$A$9:$D$311,4,FALSE)*$M$326,0)</f>
        <v>-23480</v>
      </c>
      <c r="N111" s="64">
        <f>ROUND(VLOOKUP($A111,'Contribution Allocation_Report'!$A$9:$D$311,4,FALSE)*$N$326,0)</f>
        <v>-35400</v>
      </c>
      <c r="O111" s="64">
        <f>ROUND(VLOOKUP($A111,'Contribution Allocation_Report'!$A$9:$D$311,4,FALSE)*$O$326,0)</f>
        <v>-20166</v>
      </c>
      <c r="Q111" s="64">
        <f>+K111+VLOOKUP(A111,'Change in Proportion Layers'!$A$8:$N$324,3,FALSE)+VLOOKUP(A111,'Change in Proportion Layers'!$A$8:$Y$324,10,FALSE)+VLOOKUP(A111,'Change in Proportion Layers'!$A$8:$Y$324,16,FALSE)+VLOOKUP(A111,'Change in Proportion Layers'!$A$8:$Y$324,21,FALSE)+VLOOKUP(A111,'Change in Proportion Layers'!$A$8:$Y$324,25,FALSE)</f>
        <v>32134</v>
      </c>
      <c r="R111" s="64">
        <f>+L111+VLOOKUP(A111,'Change in Proportion Layers'!$A$8:$Y$324,4,FALSE)+VLOOKUP(A111,'Change in Proportion Layers'!$A$8:$Y$324,11,FALSE)+VLOOKUP(A111,'Change in Proportion Layers'!$A$8:$Y$324,17,FALSE)+VLOOKUP(A111,'Change in Proportion Layers'!$A$8:$Y$324,22,FALSE)</f>
        <v>46770</v>
      </c>
      <c r="S111" s="64">
        <f>+M111+VLOOKUP(A111,'Change in Proportion Layers'!$A$8:$Y$324,5,FALSE)+VLOOKUP(A111,'Change in Proportion Layers'!$A$8:$Y$324,12,FALSE)+VLOOKUP(A111,'Change in Proportion Layers'!$A$8:$Y$324,18,FALSE)</f>
        <v>62199</v>
      </c>
      <c r="T111" s="64">
        <f>+N111+VLOOKUP(A111,'Change in Proportion Layers'!$A$8:$Y$324,6,FALSE)+VLOOKUP(A111,'Change in Proportion Layers'!$A$8:$Y$324,13,FALSE)</f>
        <v>50279</v>
      </c>
      <c r="U111" s="64">
        <f>+O111+VLOOKUP(A111,'Change in Proportion Layers'!$A$8:$Y$324,7,FALSE)-1</f>
        <v>56085</v>
      </c>
      <c r="W111" s="64">
        <f>('OPEB Amounts_Report'!H111-'OPEB Amounts_Report'!M111)</f>
        <v>247467</v>
      </c>
      <c r="X111" s="129">
        <f>SUM(Q111:U111)-('OPEB Amounts_Report'!H111-'OPEB Amounts_Report'!M111)</f>
        <v>0</v>
      </c>
    </row>
    <row r="112" spans="1:24">
      <c r="A112" s="187">
        <v>16052</v>
      </c>
      <c r="B112" s="188" t="s">
        <v>100</v>
      </c>
      <c r="C112" s="5">
        <f t="shared" si="1"/>
        <v>-5552543</v>
      </c>
      <c r="D112" s="5">
        <f t="shared" si="1"/>
        <v>-3736779</v>
      </c>
      <c r="E112" s="5">
        <f t="shared" si="1"/>
        <v>-2031390</v>
      </c>
      <c r="F112" s="5">
        <f t="shared" si="1"/>
        <v>-4386939</v>
      </c>
      <c r="G112" s="5">
        <f t="shared" si="1"/>
        <v>-2408338</v>
      </c>
      <c r="I112" s="186"/>
      <c r="K112" s="64">
        <f>ROUND(VLOOKUP($A112,'Contribution Allocation_Report'!$A$9:$D$311,4,FALSE)*$K$326,0)</f>
        <v>-6240222</v>
      </c>
      <c r="L112" s="64">
        <f>ROUND(VLOOKUP($A112,'Contribution Allocation_Report'!$A$9:$D$311,4,FALSE)*$L$326,0)</f>
        <v>-4534496</v>
      </c>
      <c r="M112" s="64">
        <f>ROUND(VLOOKUP($A112,'Contribution Allocation_Report'!$A$9:$D$311,4,FALSE)*$M$326,0)</f>
        <v>-2736411</v>
      </c>
      <c r="N112" s="64">
        <f>ROUND(VLOOKUP($A112,'Contribution Allocation_Report'!$A$9:$D$311,4,FALSE)*$N$326,0)</f>
        <v>-4125606</v>
      </c>
      <c r="O112" s="64">
        <f>ROUND(VLOOKUP($A112,'Contribution Allocation_Report'!$A$9:$D$311,4,FALSE)*$O$326,0)</f>
        <v>-2350231</v>
      </c>
      <c r="Q112" s="64">
        <f>+K112+VLOOKUP(A112,'Change in Proportion Layers'!$A$8:$N$324,3,FALSE)+VLOOKUP(A112,'Change in Proportion Layers'!$A$8:$Y$324,10,FALSE)+VLOOKUP(A112,'Change in Proportion Layers'!$A$8:$Y$324,16,FALSE)+VLOOKUP(A112,'Change in Proportion Layers'!$A$8:$Y$324,21,FALSE)+VLOOKUP(A112,'Change in Proportion Layers'!$A$8:$Y$324,25,FALSE)</f>
        <v>-5552543</v>
      </c>
      <c r="R112" s="64">
        <f>+L112+VLOOKUP(A112,'Change in Proportion Layers'!$A$8:$Y$324,4,FALSE)+VLOOKUP(A112,'Change in Proportion Layers'!$A$8:$Y$324,11,FALSE)+VLOOKUP(A112,'Change in Proportion Layers'!$A$8:$Y$324,17,FALSE)+VLOOKUP(A112,'Change in Proportion Layers'!$A$8:$Y$324,22,FALSE)</f>
        <v>-3736779</v>
      </c>
      <c r="S112" s="64">
        <f>+M112+VLOOKUP(A112,'Change in Proportion Layers'!$A$8:$Y$324,5,FALSE)+VLOOKUP(A112,'Change in Proportion Layers'!$A$8:$Y$324,12,FALSE)+VLOOKUP(A112,'Change in Proportion Layers'!$A$8:$Y$324,18,FALSE)</f>
        <v>-2031390</v>
      </c>
      <c r="T112" s="64">
        <f>+N112+VLOOKUP(A112,'Change in Proportion Layers'!$A$8:$Y$324,6,FALSE)+VLOOKUP(A112,'Change in Proportion Layers'!$A$8:$Y$324,13,FALSE)</f>
        <v>-4386939</v>
      </c>
      <c r="U112" s="64">
        <f>+O112+VLOOKUP(A112,'Change in Proportion Layers'!$A$8:$Y$324,7,FALSE)+1</f>
        <v>-2408338</v>
      </c>
      <c r="W112" s="64">
        <f>('OPEB Amounts_Report'!H111-'OPEB Amounts_Report'!M111)</f>
        <v>247467</v>
      </c>
      <c r="X112" s="129">
        <f>SUM(Q112:U112)-('OPEB Amounts_Report'!H112-'OPEB Amounts_Report'!M112)</f>
        <v>0</v>
      </c>
    </row>
    <row r="113" spans="1:24">
      <c r="A113" s="184">
        <v>11118</v>
      </c>
      <c r="B113" s="185" t="s">
        <v>101</v>
      </c>
      <c r="C113" s="63">
        <f t="shared" si="1"/>
        <v>-197177</v>
      </c>
      <c r="D113" s="63">
        <f t="shared" si="1"/>
        <v>-157457</v>
      </c>
      <c r="E113" s="63">
        <f t="shared" si="1"/>
        <v>-112751</v>
      </c>
      <c r="F113" s="63">
        <f t="shared" si="1"/>
        <v>-130386</v>
      </c>
      <c r="G113" s="63">
        <f t="shared" si="1"/>
        <v>-54993</v>
      </c>
      <c r="I113" s="186"/>
      <c r="K113" s="64">
        <f>ROUND(VLOOKUP($A113,'Contribution Allocation_Report'!$A$9:$D$311,4,FALSE)*$K$326,0)</f>
        <v>-169503</v>
      </c>
      <c r="L113" s="64">
        <f>ROUND(VLOOKUP($A113,'Contribution Allocation_Report'!$A$9:$D$311,4,FALSE)*$L$326,0)</f>
        <v>-123170</v>
      </c>
      <c r="M113" s="64">
        <f>ROUND(VLOOKUP($A113,'Contribution Allocation_Report'!$A$9:$D$311,4,FALSE)*$M$326,0)</f>
        <v>-74329</v>
      </c>
      <c r="N113" s="64">
        <f>ROUND(VLOOKUP($A113,'Contribution Allocation_Report'!$A$9:$D$311,4,FALSE)*$N$326,0)</f>
        <v>-112064</v>
      </c>
      <c r="O113" s="64">
        <f>ROUND(VLOOKUP($A113,'Contribution Allocation_Report'!$A$9:$D$311,4,FALSE)*$O$326,0)</f>
        <v>-63839</v>
      </c>
      <c r="Q113" s="64">
        <f>+K113+VLOOKUP(A113,'Change in Proportion Layers'!$A$8:$N$324,3,FALSE)+VLOOKUP(A113,'Change in Proportion Layers'!$A$8:$Y$324,10,FALSE)+VLOOKUP(A113,'Change in Proportion Layers'!$A$8:$Y$324,16,FALSE)+VLOOKUP(A113,'Change in Proportion Layers'!$A$8:$Y$324,21,FALSE)+VLOOKUP(A113,'Change in Proportion Layers'!$A$8:$Y$324,25,FALSE)</f>
        <v>-197177</v>
      </c>
      <c r="R113" s="64">
        <f>+L113+VLOOKUP(A113,'Change in Proportion Layers'!$A$8:$Y$324,4,FALSE)+VLOOKUP(A113,'Change in Proportion Layers'!$A$8:$Y$324,11,FALSE)+VLOOKUP(A113,'Change in Proportion Layers'!$A$8:$Y$324,17,FALSE)+VLOOKUP(A113,'Change in Proportion Layers'!$A$8:$Y$324,22,FALSE)</f>
        <v>-157457</v>
      </c>
      <c r="S113" s="64">
        <f>+M113+VLOOKUP(A113,'Change in Proportion Layers'!$A$8:$Y$324,5,FALSE)+VLOOKUP(A113,'Change in Proportion Layers'!$A$8:$Y$324,12,FALSE)+VLOOKUP(A113,'Change in Proportion Layers'!$A$8:$Y$324,18,FALSE)</f>
        <v>-112751</v>
      </c>
      <c r="T113" s="64">
        <f>+N113+VLOOKUP(A113,'Change in Proportion Layers'!$A$8:$Y$324,6,FALSE)+VLOOKUP(A113,'Change in Proportion Layers'!$A$8:$Y$324,13,FALSE)</f>
        <v>-130386</v>
      </c>
      <c r="U113" s="64">
        <f>+O113+VLOOKUP(A113,'Change in Proportion Layers'!$A$8:$Y$324,7,FALSE)+2</f>
        <v>-54993</v>
      </c>
      <c r="W113" s="64">
        <f>('OPEB Amounts_Report'!H110-'OPEB Amounts_Report'!M110)</f>
        <v>808732</v>
      </c>
      <c r="X113" s="129">
        <f>SUM(Q113:U113)-('OPEB Amounts_Report'!H113-'OPEB Amounts_Report'!M113)</f>
        <v>0</v>
      </c>
    </row>
    <row r="114" spans="1:24">
      <c r="A114" s="187">
        <v>27083</v>
      </c>
      <c r="B114" s="188" t="s">
        <v>102</v>
      </c>
      <c r="C114" s="5">
        <f t="shared" ref="C114:G165" si="2">+Q114</f>
        <v>-240816</v>
      </c>
      <c r="D114" s="5">
        <f t="shared" si="2"/>
        <v>-168305</v>
      </c>
      <c r="E114" s="5">
        <f t="shared" si="2"/>
        <v>-92835</v>
      </c>
      <c r="F114" s="5">
        <f t="shared" si="2"/>
        <v>-179929</v>
      </c>
      <c r="G114" s="5">
        <f t="shared" si="2"/>
        <v>-95405</v>
      </c>
      <c r="I114" s="186"/>
      <c r="K114" s="64">
        <f>ROUND(VLOOKUP($A114,'Contribution Allocation_Report'!$A$9:$D$311,4,FALSE)*$K$326,0)</f>
        <v>-256945</v>
      </c>
      <c r="L114" s="64">
        <f>ROUND(VLOOKUP($A114,'Contribution Allocation_Report'!$A$9:$D$311,4,FALSE)*$L$326,0)</f>
        <v>-186710</v>
      </c>
      <c r="M114" s="64">
        <f>ROUND(VLOOKUP($A114,'Contribution Allocation_Report'!$A$9:$D$311,4,FALSE)*$M$326,0)</f>
        <v>-112673</v>
      </c>
      <c r="N114" s="64">
        <f>ROUND(VLOOKUP($A114,'Contribution Allocation_Report'!$A$9:$D$311,4,FALSE)*$N$326,0)</f>
        <v>-169874</v>
      </c>
      <c r="O114" s="64">
        <f>ROUND(VLOOKUP($A114,'Contribution Allocation_Report'!$A$9:$D$311,4,FALSE)*$O$326,0)</f>
        <v>-96772</v>
      </c>
      <c r="Q114" s="64">
        <f>+K114+VLOOKUP(A114,'Change in Proportion Layers'!$A$8:$N$324,3,FALSE)+VLOOKUP(A114,'Change in Proportion Layers'!$A$8:$Y$324,10,FALSE)+VLOOKUP(A114,'Change in Proportion Layers'!$A$8:$Y$324,16,FALSE)+VLOOKUP(A114,'Change in Proportion Layers'!$A$8:$Y$324,21,FALSE)+VLOOKUP(A114,'Change in Proportion Layers'!$A$8:$Y$324,25,FALSE)</f>
        <v>-240816</v>
      </c>
      <c r="R114" s="64">
        <f>+L114+VLOOKUP(A114,'Change in Proportion Layers'!$A$8:$Y$324,4,FALSE)+VLOOKUP(A114,'Change in Proportion Layers'!$A$8:$Y$324,11,FALSE)+VLOOKUP(A114,'Change in Proportion Layers'!$A$8:$Y$324,17,FALSE)+VLOOKUP(A114,'Change in Proportion Layers'!$A$8:$Y$324,22,FALSE)</f>
        <v>-168305</v>
      </c>
      <c r="S114" s="64">
        <f>+M114+VLOOKUP(A114,'Change in Proportion Layers'!$A$8:$Y$324,5,FALSE)+VLOOKUP(A114,'Change in Proportion Layers'!$A$8:$Y$324,12,FALSE)+VLOOKUP(A114,'Change in Proportion Layers'!$A$8:$Y$324,18,FALSE)</f>
        <v>-92835</v>
      </c>
      <c r="T114" s="64">
        <f>+N114+VLOOKUP(A114,'Change in Proportion Layers'!$A$8:$Y$324,6,FALSE)+VLOOKUP(A114,'Change in Proportion Layers'!$A$8:$Y$324,13,FALSE)</f>
        <v>-179929</v>
      </c>
      <c r="U114" s="64">
        <f>+O114+VLOOKUP(A114,'Change in Proportion Layers'!$A$8:$Y$324,7,FALSE)-1</f>
        <v>-95405</v>
      </c>
      <c r="W114" s="64">
        <f>('OPEB Amounts_Report'!H112-'OPEB Amounts_Report'!M112)</f>
        <v>-18115989</v>
      </c>
      <c r="X114" s="129">
        <f>SUM(Q114:U114)-('OPEB Amounts_Report'!H114-'OPEB Amounts_Report'!M114)</f>
        <v>0</v>
      </c>
    </row>
    <row r="115" spans="1:24">
      <c r="A115" s="184">
        <v>7021</v>
      </c>
      <c r="B115" s="185" t="s">
        <v>103</v>
      </c>
      <c r="C115" s="63">
        <f t="shared" si="2"/>
        <v>-8189081</v>
      </c>
      <c r="D115" s="63">
        <f t="shared" si="2"/>
        <v>-5415064</v>
      </c>
      <c r="E115" s="63">
        <f t="shared" si="2"/>
        <v>-3070136</v>
      </c>
      <c r="F115" s="63">
        <f t="shared" si="2"/>
        <v>-5513654</v>
      </c>
      <c r="G115" s="63">
        <f t="shared" si="2"/>
        <v>-3375769</v>
      </c>
      <c r="I115" s="186"/>
      <c r="K115" s="64">
        <f>ROUND(VLOOKUP($A115,'Contribution Allocation_Report'!$A$9:$D$311,4,FALSE)*$K$326,0)</f>
        <v>-8377724</v>
      </c>
      <c r="L115" s="64">
        <f>ROUND(VLOOKUP($A115,'Contribution Allocation_Report'!$A$9:$D$311,4,FALSE)*$L$326,0)</f>
        <v>-6087726</v>
      </c>
      <c r="M115" s="64">
        <f>ROUND(VLOOKUP($A115,'Contribution Allocation_Report'!$A$9:$D$311,4,FALSE)*$M$326,0)</f>
        <v>-3673731</v>
      </c>
      <c r="N115" s="64">
        <f>ROUND(VLOOKUP($A115,'Contribution Allocation_Report'!$A$9:$D$311,4,FALSE)*$N$326,0)</f>
        <v>-5538776</v>
      </c>
      <c r="O115" s="64">
        <f>ROUND(VLOOKUP($A115,'Contribution Allocation_Report'!$A$9:$D$311,4,FALSE)*$O$326,0)</f>
        <v>-3155271</v>
      </c>
      <c r="Q115" s="64">
        <f>+K115+VLOOKUP(A115,'Change in Proportion Layers'!$A$8:$N$324,3,FALSE)+VLOOKUP(A115,'Change in Proportion Layers'!$A$8:$Y$324,10,FALSE)+VLOOKUP(A115,'Change in Proportion Layers'!$A$8:$Y$324,16,FALSE)+VLOOKUP(A115,'Change in Proportion Layers'!$A$8:$Y$324,21,FALSE)+VLOOKUP(A115,'Change in Proportion Layers'!$A$8:$Y$324,25,FALSE)</f>
        <v>-8189081</v>
      </c>
      <c r="R115" s="64">
        <f>+L115+VLOOKUP(A115,'Change in Proportion Layers'!$A$8:$Y$324,4,FALSE)+VLOOKUP(A115,'Change in Proportion Layers'!$A$8:$Y$324,11,FALSE)+VLOOKUP(A115,'Change in Proportion Layers'!$A$8:$Y$324,17,FALSE)+VLOOKUP(A115,'Change in Proportion Layers'!$A$8:$Y$324,22,FALSE)</f>
        <v>-5415064</v>
      </c>
      <c r="S115" s="64">
        <f>+M115+VLOOKUP(A115,'Change in Proportion Layers'!$A$8:$Y$324,5,FALSE)+VLOOKUP(A115,'Change in Proportion Layers'!$A$8:$Y$324,12,FALSE)+VLOOKUP(A115,'Change in Proportion Layers'!$A$8:$Y$324,18,FALSE)</f>
        <v>-3070136</v>
      </c>
      <c r="T115" s="64">
        <f>+N115+VLOOKUP(A115,'Change in Proportion Layers'!$A$8:$Y$324,6,FALSE)+VLOOKUP(A115,'Change in Proportion Layers'!$A$8:$Y$324,13,FALSE)</f>
        <v>-5513654</v>
      </c>
      <c r="U115" s="64">
        <f>+O115+VLOOKUP(A115,'Change in Proportion Layers'!$A$8:$Y$324,7,FALSE)-1</f>
        <v>-3375769</v>
      </c>
      <c r="W115" s="64">
        <f>('OPEB Amounts_Report'!H113-'OPEB Amounts_Report'!M113)</f>
        <v>-652764</v>
      </c>
      <c r="X115" s="129">
        <f>SUM(Q115:U115)-('OPEB Amounts_Report'!H115-'OPEB Amounts_Report'!M115)</f>
        <v>0</v>
      </c>
    </row>
    <row r="116" spans="1:24">
      <c r="A116" s="187">
        <v>4140</v>
      </c>
      <c r="B116" s="188" t="s">
        <v>104</v>
      </c>
      <c r="C116" s="5">
        <f t="shared" si="2"/>
        <v>-54416</v>
      </c>
      <c r="D116" s="5">
        <f t="shared" si="2"/>
        <v>-33650</v>
      </c>
      <c r="E116" s="5">
        <f t="shared" si="2"/>
        <v>-18962</v>
      </c>
      <c r="F116" s="5">
        <f t="shared" si="2"/>
        <v>-35961</v>
      </c>
      <c r="G116" s="5">
        <f t="shared" si="2"/>
        <v>-25362</v>
      </c>
      <c r="I116" s="186"/>
      <c r="K116" s="64">
        <f>ROUND(VLOOKUP($A116,'Contribution Allocation_Report'!$A$9:$D$311,4,FALSE)*$K$326,0)</f>
        <v>-51371</v>
      </c>
      <c r="L116" s="64">
        <f>ROUND(VLOOKUP($A116,'Contribution Allocation_Report'!$A$9:$D$311,4,FALSE)*$L$326,0)</f>
        <v>-37329</v>
      </c>
      <c r="M116" s="64">
        <f>ROUND(VLOOKUP($A116,'Contribution Allocation_Report'!$A$9:$D$311,4,FALSE)*$M$326,0)</f>
        <v>-22527</v>
      </c>
      <c r="N116" s="64">
        <f>ROUND(VLOOKUP($A116,'Contribution Allocation_Report'!$A$9:$D$311,4,FALSE)*$N$326,0)</f>
        <v>-33963</v>
      </c>
      <c r="O116" s="64">
        <f>ROUND(VLOOKUP($A116,'Contribution Allocation_Report'!$A$9:$D$311,4,FALSE)*$O$326,0)</f>
        <v>-19348</v>
      </c>
      <c r="Q116" s="64">
        <f>+K116+VLOOKUP(A116,'Change in Proportion Layers'!$A$8:$N$324,3,FALSE)+VLOOKUP(A116,'Change in Proportion Layers'!$A$8:$Y$324,10,FALSE)+VLOOKUP(A116,'Change in Proportion Layers'!$A$8:$Y$324,16,FALSE)+VLOOKUP(A116,'Change in Proportion Layers'!$A$8:$Y$324,21,FALSE)+VLOOKUP(A116,'Change in Proportion Layers'!$A$8:$Y$324,25,FALSE)</f>
        <v>-54416</v>
      </c>
      <c r="R116" s="64">
        <f>+L116+VLOOKUP(A116,'Change in Proportion Layers'!$A$8:$Y$324,4,FALSE)+VLOOKUP(A116,'Change in Proportion Layers'!$A$8:$Y$324,11,FALSE)+VLOOKUP(A116,'Change in Proportion Layers'!$A$8:$Y$324,17,FALSE)+VLOOKUP(A116,'Change in Proportion Layers'!$A$8:$Y$324,22,FALSE)</f>
        <v>-33650</v>
      </c>
      <c r="S116" s="64">
        <f>+M116+VLOOKUP(A116,'Change in Proportion Layers'!$A$8:$Y$324,5,FALSE)+VLOOKUP(A116,'Change in Proportion Layers'!$A$8:$Y$324,12,FALSE)+VLOOKUP(A116,'Change in Proportion Layers'!$A$8:$Y$324,18,FALSE)</f>
        <v>-18962</v>
      </c>
      <c r="T116" s="64">
        <f>+N116+VLOOKUP(A116,'Change in Proportion Layers'!$A$8:$Y$324,6,FALSE)+VLOOKUP(A116,'Change in Proportion Layers'!$A$8:$Y$324,13,FALSE)</f>
        <v>-35961</v>
      </c>
      <c r="U116" s="64">
        <f>+O116+VLOOKUP(A116,'Change in Proportion Layers'!$A$8:$Y$324,7,FALSE)+2</f>
        <v>-25362</v>
      </c>
      <c r="W116" s="64">
        <f>('OPEB Amounts_Report'!H114-'OPEB Amounts_Report'!M114)</f>
        <v>-777290</v>
      </c>
      <c r="X116" s="129">
        <f>SUM(Q116:U116)-('OPEB Amounts_Report'!H116-'OPEB Amounts_Report'!M116)</f>
        <v>0</v>
      </c>
    </row>
    <row r="117" spans="1:24">
      <c r="A117" s="184">
        <v>13041</v>
      </c>
      <c r="B117" s="185" t="s">
        <v>105</v>
      </c>
      <c r="C117" s="63">
        <f t="shared" si="2"/>
        <v>-7767704</v>
      </c>
      <c r="D117" s="63">
        <f t="shared" si="2"/>
        <v>-6152978</v>
      </c>
      <c r="E117" s="63">
        <f t="shared" si="2"/>
        <v>-4270206</v>
      </c>
      <c r="F117" s="63">
        <f t="shared" si="2"/>
        <v>-5754557</v>
      </c>
      <c r="G117" s="63">
        <f t="shared" si="2"/>
        <v>-3072859</v>
      </c>
      <c r="I117" s="186"/>
      <c r="K117" s="64">
        <f>ROUND(VLOOKUP($A117,'Contribution Allocation_Report'!$A$9:$D$311,4,FALSE)*$K$326,0)</f>
        <v>-7351845</v>
      </c>
      <c r="L117" s="64">
        <f>ROUND(VLOOKUP($A117,'Contribution Allocation_Report'!$A$9:$D$311,4,FALSE)*$L$326,0)</f>
        <v>-5342265</v>
      </c>
      <c r="M117" s="64">
        <f>ROUND(VLOOKUP($A117,'Contribution Allocation_Report'!$A$9:$D$311,4,FALSE)*$M$326,0)</f>
        <v>-3223871</v>
      </c>
      <c r="N117" s="64">
        <f>ROUND(VLOOKUP($A117,'Contribution Allocation_Report'!$A$9:$D$311,4,FALSE)*$N$326,0)</f>
        <v>-4860535</v>
      </c>
      <c r="O117" s="64">
        <f>ROUND(VLOOKUP($A117,'Contribution Allocation_Report'!$A$9:$D$311,4,FALSE)*$O$326,0)</f>
        <v>-2768898</v>
      </c>
      <c r="Q117" s="64">
        <f>+K117+VLOOKUP(A117,'Change in Proportion Layers'!$A$8:$N$324,3,FALSE)+VLOOKUP(A117,'Change in Proportion Layers'!$A$8:$Y$324,10,FALSE)+VLOOKUP(A117,'Change in Proportion Layers'!$A$8:$Y$324,16,FALSE)+VLOOKUP(A117,'Change in Proportion Layers'!$A$8:$Y$324,21,FALSE)+VLOOKUP(A117,'Change in Proportion Layers'!$A$8:$Y$324,25,FALSE)</f>
        <v>-7767704</v>
      </c>
      <c r="R117" s="64">
        <f>+L117+VLOOKUP(A117,'Change in Proportion Layers'!$A$8:$Y$324,4,FALSE)+VLOOKUP(A117,'Change in Proportion Layers'!$A$8:$Y$324,11,FALSE)+VLOOKUP(A117,'Change in Proportion Layers'!$A$8:$Y$324,17,FALSE)+VLOOKUP(A117,'Change in Proportion Layers'!$A$8:$Y$324,22,FALSE)</f>
        <v>-6152978</v>
      </c>
      <c r="S117" s="64">
        <f>+M117+VLOOKUP(A117,'Change in Proportion Layers'!$A$8:$Y$324,5,FALSE)+VLOOKUP(A117,'Change in Proportion Layers'!$A$8:$Y$324,12,FALSE)+VLOOKUP(A117,'Change in Proportion Layers'!$A$8:$Y$324,18,FALSE)</f>
        <v>-4270206</v>
      </c>
      <c r="T117" s="64">
        <f>+N117+VLOOKUP(A117,'Change in Proportion Layers'!$A$8:$Y$324,6,FALSE)+VLOOKUP(A117,'Change in Proportion Layers'!$A$8:$Y$324,13,FALSE)</f>
        <v>-5754557</v>
      </c>
      <c r="U117" s="64">
        <f>+O117+VLOOKUP(A117,'Change in Proportion Layers'!$A$8:$Y$324,7,FALSE)+1</f>
        <v>-3072859</v>
      </c>
      <c r="W117" s="64">
        <f>('OPEB Amounts_Report'!H115-'OPEB Amounts_Report'!M115)</f>
        <v>-25563704</v>
      </c>
      <c r="X117" s="129">
        <f>SUM(Q117:U117)-('OPEB Amounts_Report'!H117-'OPEB Amounts_Report'!M117)</f>
        <v>0</v>
      </c>
    </row>
    <row r="118" spans="1:24">
      <c r="A118" s="187">
        <v>2339</v>
      </c>
      <c r="B118" s="188" t="s">
        <v>106</v>
      </c>
      <c r="C118" s="5">
        <f t="shared" si="2"/>
        <v>-143741</v>
      </c>
      <c r="D118" s="5">
        <f t="shared" si="2"/>
        <v>-97633</v>
      </c>
      <c r="E118" s="5">
        <f t="shared" si="2"/>
        <v>-57547</v>
      </c>
      <c r="F118" s="5">
        <f t="shared" si="2"/>
        <v>-78743</v>
      </c>
      <c r="G118" s="5">
        <f t="shared" si="2"/>
        <v>-56126</v>
      </c>
      <c r="I118" s="186"/>
      <c r="K118" s="64">
        <f>ROUND(VLOOKUP($A118,'Contribution Allocation_Report'!$A$9:$D$311,4,FALSE)*$K$326,0)</f>
        <v>-97906</v>
      </c>
      <c r="L118" s="64">
        <f>ROUND(VLOOKUP($A118,'Contribution Allocation_Report'!$A$9:$D$311,4,FALSE)*$L$326,0)</f>
        <v>-71144</v>
      </c>
      <c r="M118" s="64">
        <f>ROUND(VLOOKUP($A118,'Contribution Allocation_Report'!$A$9:$D$311,4,FALSE)*$M$326,0)</f>
        <v>-42933</v>
      </c>
      <c r="N118" s="64">
        <f>ROUND(VLOOKUP($A118,'Contribution Allocation_Report'!$A$9:$D$311,4,FALSE)*$N$326,0)</f>
        <v>-64729</v>
      </c>
      <c r="O118" s="64">
        <f>ROUND(VLOOKUP($A118,'Contribution Allocation_Report'!$A$9:$D$311,4,FALSE)*$O$326,0)</f>
        <v>-36874</v>
      </c>
      <c r="Q118" s="64">
        <f>+K118+VLOOKUP(A118,'Change in Proportion Layers'!$A$8:$N$324,3,FALSE)+VLOOKUP(A118,'Change in Proportion Layers'!$A$8:$Y$324,10,FALSE)+VLOOKUP(A118,'Change in Proportion Layers'!$A$8:$Y$324,16,FALSE)+VLOOKUP(A118,'Change in Proportion Layers'!$A$8:$Y$324,21,FALSE)+VLOOKUP(A118,'Change in Proportion Layers'!$A$8:$Y$324,25,FALSE)</f>
        <v>-143741</v>
      </c>
      <c r="R118" s="64">
        <f>+L118+VLOOKUP(A118,'Change in Proportion Layers'!$A$8:$Y$324,4,FALSE)+VLOOKUP(A118,'Change in Proportion Layers'!$A$8:$Y$324,11,FALSE)+VLOOKUP(A118,'Change in Proportion Layers'!$A$8:$Y$324,17,FALSE)+VLOOKUP(A118,'Change in Proportion Layers'!$A$8:$Y$324,22,FALSE)</f>
        <v>-97633</v>
      </c>
      <c r="S118" s="64">
        <f>+M118+VLOOKUP(A118,'Change in Proportion Layers'!$A$8:$Y$324,5,FALSE)+VLOOKUP(A118,'Change in Proportion Layers'!$A$8:$Y$324,12,FALSE)+VLOOKUP(A118,'Change in Proportion Layers'!$A$8:$Y$324,18,FALSE)</f>
        <v>-57547</v>
      </c>
      <c r="T118" s="64">
        <f>+N118+VLOOKUP(A118,'Change in Proportion Layers'!$A$8:$Y$324,6,FALSE)+VLOOKUP(A118,'Change in Proportion Layers'!$A$8:$Y$324,13,FALSE)</f>
        <v>-78743</v>
      </c>
      <c r="U118" s="64">
        <f>+O118+VLOOKUP(A118,'Change in Proportion Layers'!$A$8:$Y$324,7,FALSE)+1</f>
        <v>-56126</v>
      </c>
      <c r="W118" s="64">
        <f>('OPEB Amounts_Report'!H116-'OPEB Amounts_Report'!M116)</f>
        <v>-168351</v>
      </c>
      <c r="X118" s="129">
        <f>SUM(Q118:U118)-('OPEB Amounts_Report'!H118-'OPEB Amounts_Report'!M118)</f>
        <v>0</v>
      </c>
    </row>
    <row r="119" spans="1:24">
      <c r="A119" s="184">
        <v>2362</v>
      </c>
      <c r="B119" s="185" t="s">
        <v>107</v>
      </c>
      <c r="C119" s="63">
        <f t="shared" si="2"/>
        <v>-208355</v>
      </c>
      <c r="D119" s="63">
        <f t="shared" si="2"/>
        <v>-205999</v>
      </c>
      <c r="E119" s="63">
        <f t="shared" si="2"/>
        <v>-167015</v>
      </c>
      <c r="F119" s="63">
        <f t="shared" si="2"/>
        <v>-184888</v>
      </c>
      <c r="G119" s="63">
        <f t="shared" si="2"/>
        <v>-43601</v>
      </c>
      <c r="I119" s="186"/>
      <c r="K119" s="64">
        <f>ROUND(VLOOKUP($A119,'Contribution Allocation_Report'!$A$9:$D$311,4,FALSE)*$K$326,0)</f>
        <v>-152190</v>
      </c>
      <c r="L119" s="64">
        <f>ROUND(VLOOKUP($A119,'Contribution Allocation_Report'!$A$9:$D$311,4,FALSE)*$L$326,0)</f>
        <v>-110590</v>
      </c>
      <c r="M119" s="64">
        <f>ROUND(VLOOKUP($A119,'Contribution Allocation_Report'!$A$9:$D$311,4,FALSE)*$M$326,0)</f>
        <v>-66737</v>
      </c>
      <c r="N119" s="64">
        <f>ROUND(VLOOKUP($A119,'Contribution Allocation_Report'!$A$9:$D$311,4,FALSE)*$N$326,0)</f>
        <v>-100617</v>
      </c>
      <c r="O119" s="64">
        <f>ROUND(VLOOKUP($A119,'Contribution Allocation_Report'!$A$9:$D$311,4,FALSE)*$O$326,0)</f>
        <v>-57319</v>
      </c>
      <c r="Q119" s="64">
        <f>+K119+VLOOKUP(A119,'Change in Proportion Layers'!$A$8:$N$324,3,FALSE)+VLOOKUP(A119,'Change in Proportion Layers'!$A$8:$Y$324,10,FALSE)+VLOOKUP(A119,'Change in Proportion Layers'!$A$8:$Y$324,16,FALSE)+VLOOKUP(A119,'Change in Proportion Layers'!$A$8:$Y$324,21,FALSE)+VLOOKUP(A119,'Change in Proportion Layers'!$A$8:$Y$324,25,FALSE)</f>
        <v>-208355</v>
      </c>
      <c r="R119" s="64">
        <f>+L119+VLOOKUP(A119,'Change in Proportion Layers'!$A$8:$Y$324,4,FALSE)+VLOOKUP(A119,'Change in Proportion Layers'!$A$8:$Y$324,11,FALSE)+VLOOKUP(A119,'Change in Proportion Layers'!$A$8:$Y$324,17,FALSE)+VLOOKUP(A119,'Change in Proportion Layers'!$A$8:$Y$324,22,FALSE)</f>
        <v>-205999</v>
      </c>
      <c r="S119" s="64">
        <f>+M119+VLOOKUP(A119,'Change in Proportion Layers'!$A$8:$Y$324,5,FALSE)+VLOOKUP(A119,'Change in Proportion Layers'!$A$8:$Y$324,12,FALSE)+VLOOKUP(A119,'Change in Proportion Layers'!$A$8:$Y$324,18,FALSE)</f>
        <v>-167015</v>
      </c>
      <c r="T119" s="64">
        <f>+N119+VLOOKUP(A119,'Change in Proportion Layers'!$A$8:$Y$324,6,FALSE)+VLOOKUP(A119,'Change in Proportion Layers'!$A$8:$Y$324,13,FALSE)</f>
        <v>-184888</v>
      </c>
      <c r="U119" s="64">
        <f>+O119+VLOOKUP(A119,'Change in Proportion Layers'!$A$8:$Y$324,7,FALSE)</f>
        <v>-43601</v>
      </c>
      <c r="W119" s="64">
        <f>('OPEB Amounts_Report'!H117-'OPEB Amounts_Report'!M117)</f>
        <v>-27018304</v>
      </c>
      <c r="X119" s="129">
        <f>SUM(Q119:U119)-('OPEB Amounts_Report'!H119-'OPEB Amounts_Report'!M119)</f>
        <v>0</v>
      </c>
    </row>
    <row r="120" spans="1:24">
      <c r="A120" s="187">
        <v>5013</v>
      </c>
      <c r="B120" s="188" t="s">
        <v>108</v>
      </c>
      <c r="C120" s="5">
        <f t="shared" si="2"/>
        <v>-130192</v>
      </c>
      <c r="D120" s="5">
        <f t="shared" si="2"/>
        <v>-92301</v>
      </c>
      <c r="E120" s="5">
        <f t="shared" si="2"/>
        <v>-52256</v>
      </c>
      <c r="F120" s="5">
        <f t="shared" si="2"/>
        <v>-84985</v>
      </c>
      <c r="G120" s="5">
        <f t="shared" si="2"/>
        <v>-53551</v>
      </c>
      <c r="I120" s="186"/>
      <c r="K120" s="64">
        <f>ROUND(VLOOKUP($A120,'Contribution Allocation_Report'!$A$9:$D$311,4,FALSE)*$K$326,0)</f>
        <v>-134642</v>
      </c>
      <c r="L120" s="64">
        <f>ROUND(VLOOKUP($A120,'Contribution Allocation_Report'!$A$9:$D$311,4,FALSE)*$L$326,0)</f>
        <v>-97839</v>
      </c>
      <c r="M120" s="64">
        <f>ROUND(VLOOKUP($A120,'Contribution Allocation_Report'!$A$9:$D$311,4,FALSE)*$M$326,0)</f>
        <v>-59042</v>
      </c>
      <c r="N120" s="64">
        <f>ROUND(VLOOKUP($A120,'Contribution Allocation_Report'!$A$9:$D$311,4,FALSE)*$N$326,0)</f>
        <v>-89016</v>
      </c>
      <c r="O120" s="64">
        <f>ROUND(VLOOKUP($A120,'Contribution Allocation_Report'!$A$9:$D$311,4,FALSE)*$O$326,0)</f>
        <v>-50710</v>
      </c>
      <c r="Q120" s="64">
        <f>+K120+VLOOKUP(A120,'Change in Proportion Layers'!$A$8:$N$324,3,FALSE)+VLOOKUP(A120,'Change in Proportion Layers'!$A$8:$Y$324,10,FALSE)+VLOOKUP(A120,'Change in Proportion Layers'!$A$8:$Y$324,16,FALSE)+VLOOKUP(A120,'Change in Proportion Layers'!$A$8:$Y$324,21,FALSE)+VLOOKUP(A120,'Change in Proportion Layers'!$A$8:$Y$324,25,FALSE)</f>
        <v>-130192</v>
      </c>
      <c r="R120" s="64">
        <f>+L120+VLOOKUP(A120,'Change in Proportion Layers'!$A$8:$Y$324,4,FALSE)+VLOOKUP(A120,'Change in Proportion Layers'!$A$8:$Y$324,11,FALSE)+VLOOKUP(A120,'Change in Proportion Layers'!$A$8:$Y$324,17,FALSE)+VLOOKUP(A120,'Change in Proportion Layers'!$A$8:$Y$324,22,FALSE)</f>
        <v>-92301</v>
      </c>
      <c r="S120" s="64">
        <f>+M120+VLOOKUP(A120,'Change in Proportion Layers'!$A$8:$Y$324,5,FALSE)+VLOOKUP(A120,'Change in Proportion Layers'!$A$8:$Y$324,12,FALSE)+VLOOKUP(A120,'Change in Proportion Layers'!$A$8:$Y$324,18,FALSE)</f>
        <v>-52256</v>
      </c>
      <c r="T120" s="64">
        <f>+N120+VLOOKUP(A120,'Change in Proportion Layers'!$A$8:$Y$324,6,FALSE)+VLOOKUP(A120,'Change in Proportion Layers'!$A$8:$Y$324,13,FALSE)</f>
        <v>-84985</v>
      </c>
      <c r="U120" s="64">
        <f>+O120+VLOOKUP(A120,'Change in Proportion Layers'!$A$8:$Y$324,7,FALSE)-1</f>
        <v>-53551</v>
      </c>
      <c r="W120" s="64">
        <f>('OPEB Amounts_Report'!H118-'OPEB Amounts_Report'!M118)</f>
        <v>-433790</v>
      </c>
      <c r="X120" s="129">
        <f>SUM(Q120:U120)-('OPEB Amounts_Report'!H120-'OPEB Amounts_Report'!M120)</f>
        <v>0</v>
      </c>
    </row>
    <row r="121" spans="1:24">
      <c r="A121" s="184">
        <v>3110</v>
      </c>
      <c r="B121" s="185" t="s">
        <v>109</v>
      </c>
      <c r="C121" s="63">
        <f t="shared" si="2"/>
        <v>-863850</v>
      </c>
      <c r="D121" s="63">
        <f t="shared" si="2"/>
        <v>-622935</v>
      </c>
      <c r="E121" s="63">
        <f t="shared" si="2"/>
        <v>-397265</v>
      </c>
      <c r="F121" s="63">
        <f t="shared" si="2"/>
        <v>-484547</v>
      </c>
      <c r="G121" s="63">
        <f t="shared" si="2"/>
        <v>-295360</v>
      </c>
      <c r="I121" s="186"/>
      <c r="K121" s="64">
        <f>ROUND(VLOOKUP($A121,'Contribution Allocation_Report'!$A$9:$D$311,4,FALSE)*$K$326,0)</f>
        <v>-655982</v>
      </c>
      <c r="L121" s="64">
        <f>ROUND(VLOOKUP($A121,'Contribution Allocation_Report'!$A$9:$D$311,4,FALSE)*$L$326,0)</f>
        <v>-476673</v>
      </c>
      <c r="M121" s="64">
        <f>ROUND(VLOOKUP($A121,'Contribution Allocation_Report'!$A$9:$D$311,4,FALSE)*$M$326,0)</f>
        <v>-287656</v>
      </c>
      <c r="N121" s="64">
        <f>ROUND(VLOOKUP($A121,'Contribution Allocation_Report'!$A$9:$D$311,4,FALSE)*$N$326,0)</f>
        <v>-433690</v>
      </c>
      <c r="O121" s="64">
        <f>ROUND(VLOOKUP($A121,'Contribution Allocation_Report'!$A$9:$D$311,4,FALSE)*$O$326,0)</f>
        <v>-247060</v>
      </c>
      <c r="Q121" s="64">
        <f>+K121+VLOOKUP(A121,'Change in Proportion Layers'!$A$8:$N$324,3,FALSE)+VLOOKUP(A121,'Change in Proportion Layers'!$A$8:$Y$324,10,FALSE)+VLOOKUP(A121,'Change in Proportion Layers'!$A$8:$Y$324,16,FALSE)+VLOOKUP(A121,'Change in Proportion Layers'!$A$8:$Y$324,21,FALSE)+VLOOKUP(A121,'Change in Proportion Layers'!$A$8:$Y$324,25,FALSE)</f>
        <v>-863850</v>
      </c>
      <c r="R121" s="64">
        <f>+L121+VLOOKUP(A121,'Change in Proportion Layers'!$A$8:$Y$324,4,FALSE)+VLOOKUP(A121,'Change in Proportion Layers'!$A$8:$Y$324,11,FALSE)+VLOOKUP(A121,'Change in Proportion Layers'!$A$8:$Y$324,17,FALSE)+VLOOKUP(A121,'Change in Proportion Layers'!$A$8:$Y$324,22,FALSE)</f>
        <v>-622935</v>
      </c>
      <c r="S121" s="64">
        <f>+M121+VLOOKUP(A121,'Change in Proportion Layers'!$A$8:$Y$324,5,FALSE)+VLOOKUP(A121,'Change in Proportion Layers'!$A$8:$Y$324,12,FALSE)+VLOOKUP(A121,'Change in Proportion Layers'!$A$8:$Y$324,18,FALSE)</f>
        <v>-397265</v>
      </c>
      <c r="T121" s="64">
        <f>+N121+VLOOKUP(A121,'Change in Proportion Layers'!$A$8:$Y$324,6,FALSE)+VLOOKUP(A121,'Change in Proportion Layers'!$A$8:$Y$324,13,FALSE)</f>
        <v>-484547</v>
      </c>
      <c r="U121" s="64">
        <f>+O121+VLOOKUP(A121,'Change in Proportion Layers'!$A$8:$Y$324,7,FALSE)</f>
        <v>-295360</v>
      </c>
      <c r="W121" s="64">
        <f>('OPEB Amounts_Report'!H119-'OPEB Amounts_Report'!M119)</f>
        <v>-809858</v>
      </c>
      <c r="X121" s="129">
        <f>SUM(Q121:U121)-('OPEB Amounts_Report'!H121-'OPEB Amounts_Report'!M121)</f>
        <v>0</v>
      </c>
    </row>
    <row r="122" spans="1:24">
      <c r="A122" s="187">
        <v>14044</v>
      </c>
      <c r="B122" s="188" t="s">
        <v>110</v>
      </c>
      <c r="C122" s="5">
        <f t="shared" si="2"/>
        <v>-2291890</v>
      </c>
      <c r="D122" s="5">
        <f t="shared" si="2"/>
        <v>-1637259</v>
      </c>
      <c r="E122" s="5">
        <f t="shared" si="2"/>
        <v>-1002016</v>
      </c>
      <c r="F122" s="5">
        <f t="shared" si="2"/>
        <v>-1626240</v>
      </c>
      <c r="G122" s="5">
        <f t="shared" si="2"/>
        <v>-945062</v>
      </c>
      <c r="I122" s="186"/>
      <c r="K122" s="64">
        <f>ROUND(VLOOKUP($A122,'Contribution Allocation_Report'!$A$9:$D$311,4,FALSE)*$K$326,0)</f>
        <v>-2085233</v>
      </c>
      <c r="L122" s="64">
        <f>ROUND(VLOOKUP($A122,'Contribution Allocation_Report'!$A$9:$D$311,4,FALSE)*$L$326,0)</f>
        <v>-1515248</v>
      </c>
      <c r="M122" s="64">
        <f>ROUND(VLOOKUP($A122,'Contribution Allocation_Report'!$A$9:$D$311,4,FALSE)*$M$326,0)</f>
        <v>-914399</v>
      </c>
      <c r="N122" s="64">
        <f>ROUND(VLOOKUP($A122,'Contribution Allocation_Report'!$A$9:$D$311,4,FALSE)*$N$326,0)</f>
        <v>-1378613</v>
      </c>
      <c r="O122" s="64">
        <f>ROUND(VLOOKUP($A122,'Contribution Allocation_Report'!$A$9:$D$311,4,FALSE)*$O$326,0)</f>
        <v>-785354</v>
      </c>
      <c r="Q122" s="64">
        <f>+K122+VLOOKUP(A122,'Change in Proportion Layers'!$A$8:$N$324,3,FALSE)+VLOOKUP(A122,'Change in Proportion Layers'!$A$8:$Y$324,10,FALSE)+VLOOKUP(A122,'Change in Proportion Layers'!$A$8:$Y$324,16,FALSE)+VLOOKUP(A122,'Change in Proportion Layers'!$A$8:$Y$324,21,FALSE)+VLOOKUP(A122,'Change in Proportion Layers'!$A$8:$Y$324,25,FALSE)</f>
        <v>-2291890</v>
      </c>
      <c r="R122" s="64">
        <f>+L122+VLOOKUP(A122,'Change in Proportion Layers'!$A$8:$Y$324,4,FALSE)+VLOOKUP(A122,'Change in Proportion Layers'!$A$8:$Y$324,11,FALSE)+VLOOKUP(A122,'Change in Proportion Layers'!$A$8:$Y$324,17,FALSE)+VLOOKUP(A122,'Change in Proportion Layers'!$A$8:$Y$324,22,FALSE)</f>
        <v>-1637259</v>
      </c>
      <c r="S122" s="64">
        <f>+M122+VLOOKUP(A122,'Change in Proportion Layers'!$A$8:$Y$324,5,FALSE)+VLOOKUP(A122,'Change in Proportion Layers'!$A$8:$Y$324,12,FALSE)+VLOOKUP(A122,'Change in Proportion Layers'!$A$8:$Y$324,18,FALSE)</f>
        <v>-1002016</v>
      </c>
      <c r="T122" s="64">
        <f>+N122+VLOOKUP(A122,'Change in Proportion Layers'!$A$8:$Y$324,6,FALSE)+VLOOKUP(A122,'Change in Proportion Layers'!$A$8:$Y$324,13,FALSE)</f>
        <v>-1626240</v>
      </c>
      <c r="U122" s="64">
        <f>+O122+VLOOKUP(A122,'Change in Proportion Layers'!$A$8:$Y$324,7,FALSE)</f>
        <v>-945062</v>
      </c>
      <c r="W122" s="64">
        <f>('OPEB Amounts_Report'!H120-'OPEB Amounts_Report'!M120)</f>
        <v>-413285</v>
      </c>
      <c r="X122" s="129">
        <f>SUM(Q122:U122)-('OPEB Amounts_Report'!H122-'OPEB Amounts_Report'!M122)</f>
        <v>0</v>
      </c>
    </row>
    <row r="123" spans="1:24">
      <c r="A123" s="184">
        <v>4009</v>
      </c>
      <c r="B123" s="185" t="s">
        <v>111</v>
      </c>
      <c r="C123" s="63">
        <f t="shared" si="2"/>
        <v>-376955</v>
      </c>
      <c r="D123" s="63">
        <f t="shared" si="2"/>
        <v>-300301</v>
      </c>
      <c r="E123" s="63">
        <f t="shared" si="2"/>
        <v>-195912</v>
      </c>
      <c r="F123" s="63">
        <f t="shared" si="2"/>
        <v>-233965</v>
      </c>
      <c r="G123" s="63">
        <f t="shared" si="2"/>
        <v>-135417</v>
      </c>
      <c r="I123" s="186"/>
      <c r="K123" s="64">
        <f>ROUND(VLOOKUP($A123,'Contribution Allocation_Report'!$A$9:$D$311,4,FALSE)*$K$326,0)</f>
        <v>-270450</v>
      </c>
      <c r="L123" s="64">
        <f>ROUND(VLOOKUP($A123,'Contribution Allocation_Report'!$A$9:$D$311,4,FALSE)*$L$326,0)</f>
        <v>-196524</v>
      </c>
      <c r="M123" s="64">
        <f>ROUND(VLOOKUP($A123,'Contribution Allocation_Report'!$A$9:$D$311,4,FALSE)*$M$326,0)</f>
        <v>-118596</v>
      </c>
      <c r="N123" s="64">
        <f>ROUND(VLOOKUP($A123,'Contribution Allocation_Report'!$A$9:$D$311,4,FALSE)*$N$326,0)</f>
        <v>-178803</v>
      </c>
      <c r="O123" s="64">
        <f>ROUND(VLOOKUP($A123,'Contribution Allocation_Report'!$A$9:$D$311,4,FALSE)*$O$326,0)</f>
        <v>-101859</v>
      </c>
      <c r="Q123" s="64">
        <f>+K123+VLOOKUP(A123,'Change in Proportion Layers'!$A$8:$N$324,3,FALSE)+VLOOKUP(A123,'Change in Proportion Layers'!$A$8:$Y$324,10,FALSE)+VLOOKUP(A123,'Change in Proportion Layers'!$A$8:$Y$324,16,FALSE)+VLOOKUP(A123,'Change in Proportion Layers'!$A$8:$Y$324,21,FALSE)+VLOOKUP(A123,'Change in Proportion Layers'!$A$8:$Y$324,25,FALSE)</f>
        <v>-376955</v>
      </c>
      <c r="R123" s="64">
        <f>+L123+VLOOKUP(A123,'Change in Proportion Layers'!$A$8:$Y$324,4,FALSE)+VLOOKUP(A123,'Change in Proportion Layers'!$A$8:$Y$324,11,FALSE)+VLOOKUP(A123,'Change in Proportion Layers'!$A$8:$Y$324,17,FALSE)+VLOOKUP(A123,'Change in Proportion Layers'!$A$8:$Y$324,22,FALSE)</f>
        <v>-300301</v>
      </c>
      <c r="S123" s="64">
        <f>+M123+VLOOKUP(A123,'Change in Proportion Layers'!$A$8:$Y$324,5,FALSE)+VLOOKUP(A123,'Change in Proportion Layers'!$A$8:$Y$324,12,FALSE)+VLOOKUP(A123,'Change in Proportion Layers'!$A$8:$Y$324,18,FALSE)</f>
        <v>-195912</v>
      </c>
      <c r="T123" s="64">
        <f>+N123+VLOOKUP(A123,'Change in Proportion Layers'!$A$8:$Y$324,6,FALSE)+VLOOKUP(A123,'Change in Proportion Layers'!$A$8:$Y$324,13,FALSE)</f>
        <v>-233965</v>
      </c>
      <c r="U123" s="64">
        <f>+O123+VLOOKUP(A123,'Change in Proportion Layers'!$A$8:$Y$324,7,FALSE)-1</f>
        <v>-135417</v>
      </c>
      <c r="W123" s="64">
        <f>('OPEB Amounts_Report'!H121-'OPEB Amounts_Report'!M121)</f>
        <v>-2663957</v>
      </c>
      <c r="X123" s="129">
        <f>SUM(Q123:U123)-('OPEB Amounts_Report'!H123-'OPEB Amounts_Report'!M123)</f>
        <v>0</v>
      </c>
    </row>
    <row r="124" spans="1:24">
      <c r="A124" s="187">
        <v>7022</v>
      </c>
      <c r="B124" s="188" t="s">
        <v>112</v>
      </c>
      <c r="C124" s="5">
        <f t="shared" si="2"/>
        <v>-711381</v>
      </c>
      <c r="D124" s="5">
        <f t="shared" si="2"/>
        <v>-473775</v>
      </c>
      <c r="E124" s="5">
        <f t="shared" si="2"/>
        <v>-244061</v>
      </c>
      <c r="F124" s="5">
        <f t="shared" si="2"/>
        <v>-473920</v>
      </c>
      <c r="G124" s="5">
        <f t="shared" si="2"/>
        <v>-228040</v>
      </c>
      <c r="I124" s="186"/>
      <c r="K124" s="64">
        <f>ROUND(VLOOKUP($A124,'Contribution Allocation_Report'!$A$9:$D$311,4,FALSE)*$K$326,0)</f>
        <v>-839490</v>
      </c>
      <c r="L124" s="64">
        <f>ROUND(VLOOKUP($A124,'Contribution Allocation_Report'!$A$9:$D$311,4,FALSE)*$L$326,0)</f>
        <v>-610021</v>
      </c>
      <c r="M124" s="64">
        <f>ROUND(VLOOKUP($A124,'Contribution Allocation_Report'!$A$9:$D$311,4,FALSE)*$M$326,0)</f>
        <v>-368126</v>
      </c>
      <c r="N124" s="64">
        <f>ROUND(VLOOKUP($A124,'Contribution Allocation_Report'!$A$9:$D$311,4,FALSE)*$N$326,0)</f>
        <v>-555013</v>
      </c>
      <c r="O124" s="64">
        <f>ROUND(VLOOKUP($A124,'Contribution Allocation_Report'!$A$9:$D$311,4,FALSE)*$O$326,0)</f>
        <v>-316174</v>
      </c>
      <c r="Q124" s="64">
        <f>+K124+VLOOKUP(A124,'Change in Proportion Layers'!$A$8:$N$324,3,FALSE)+VLOOKUP(A124,'Change in Proportion Layers'!$A$8:$Y$324,10,FALSE)+VLOOKUP(A124,'Change in Proportion Layers'!$A$8:$Y$324,16,FALSE)+VLOOKUP(A124,'Change in Proportion Layers'!$A$8:$Y$324,21,FALSE)+VLOOKUP(A124,'Change in Proportion Layers'!$A$8:$Y$324,25,FALSE)</f>
        <v>-711381</v>
      </c>
      <c r="R124" s="64">
        <f>+L124+VLOOKUP(A124,'Change in Proportion Layers'!$A$8:$Y$324,4,FALSE)+VLOOKUP(A124,'Change in Proportion Layers'!$A$8:$Y$324,11,FALSE)+VLOOKUP(A124,'Change in Proportion Layers'!$A$8:$Y$324,17,FALSE)+VLOOKUP(A124,'Change in Proportion Layers'!$A$8:$Y$324,22,FALSE)</f>
        <v>-473775</v>
      </c>
      <c r="S124" s="64">
        <f>+M124+VLOOKUP(A124,'Change in Proportion Layers'!$A$8:$Y$324,5,FALSE)+VLOOKUP(A124,'Change in Proportion Layers'!$A$8:$Y$324,12,FALSE)+VLOOKUP(A124,'Change in Proportion Layers'!$A$8:$Y$324,18,FALSE)</f>
        <v>-244061</v>
      </c>
      <c r="T124" s="64">
        <f>+N124+VLOOKUP(A124,'Change in Proportion Layers'!$A$8:$Y$324,6,FALSE)+VLOOKUP(A124,'Change in Proportion Layers'!$A$8:$Y$324,13,FALSE)</f>
        <v>-473920</v>
      </c>
      <c r="U124" s="64">
        <f>+O124+VLOOKUP(A124,'Change in Proportion Layers'!$A$8:$Y$324,7,FALSE)</f>
        <v>-228040</v>
      </c>
      <c r="W124" s="64">
        <f>('OPEB Amounts_Report'!H122-'OPEB Amounts_Report'!M122)</f>
        <v>-7502467</v>
      </c>
      <c r="X124" s="129">
        <f>SUM(Q124:U124)-('OPEB Amounts_Report'!H124-'OPEB Amounts_Report'!M124)</f>
        <v>0</v>
      </c>
    </row>
    <row r="125" spans="1:24">
      <c r="A125" s="184">
        <v>2430</v>
      </c>
      <c r="B125" s="185" t="s">
        <v>113</v>
      </c>
      <c r="C125" s="63">
        <f t="shared" si="2"/>
        <v>-153158</v>
      </c>
      <c r="D125" s="63">
        <f t="shared" si="2"/>
        <v>-134496</v>
      </c>
      <c r="E125" s="63">
        <f t="shared" si="2"/>
        <v>-103465</v>
      </c>
      <c r="F125" s="63">
        <f t="shared" si="2"/>
        <v>-88283</v>
      </c>
      <c r="G125" s="63">
        <f t="shared" si="2"/>
        <v>-46458</v>
      </c>
      <c r="I125" s="186"/>
      <c r="K125" s="64">
        <f>ROUND(VLOOKUP($A125,'Contribution Allocation_Report'!$A$9:$D$311,4,FALSE)*$K$326,0)</f>
        <v>-119618</v>
      </c>
      <c r="L125" s="64">
        <f>ROUND(VLOOKUP($A125,'Contribution Allocation_Report'!$A$9:$D$311,4,FALSE)*$L$326,0)</f>
        <v>-86922</v>
      </c>
      <c r="M125" s="64">
        <f>ROUND(VLOOKUP($A125,'Contribution Allocation_Report'!$A$9:$D$311,4,FALSE)*$M$326,0)</f>
        <v>-52454</v>
      </c>
      <c r="N125" s="64">
        <f>ROUND(VLOOKUP($A125,'Contribution Allocation_Report'!$A$9:$D$311,4,FALSE)*$N$326,0)</f>
        <v>-79084</v>
      </c>
      <c r="O125" s="64">
        <f>ROUND(VLOOKUP($A125,'Contribution Allocation_Report'!$A$9:$D$311,4,FALSE)*$O$326,0)</f>
        <v>-45051</v>
      </c>
      <c r="Q125" s="64">
        <f>+K125+VLOOKUP(A125,'Change in Proportion Layers'!$A$8:$N$324,3,FALSE)+VLOOKUP(A125,'Change in Proportion Layers'!$A$8:$Y$324,10,FALSE)+VLOOKUP(A125,'Change in Proportion Layers'!$A$8:$Y$324,16,FALSE)+VLOOKUP(A125,'Change in Proportion Layers'!$A$8:$Y$324,21,FALSE)+VLOOKUP(A125,'Change in Proportion Layers'!$A$8:$Y$324,25,FALSE)</f>
        <v>-153158</v>
      </c>
      <c r="R125" s="64">
        <f>+L125+VLOOKUP(A125,'Change in Proportion Layers'!$A$8:$Y$324,4,FALSE)+VLOOKUP(A125,'Change in Proportion Layers'!$A$8:$Y$324,11,FALSE)+VLOOKUP(A125,'Change in Proportion Layers'!$A$8:$Y$324,17,FALSE)+VLOOKUP(A125,'Change in Proportion Layers'!$A$8:$Y$324,22,FALSE)</f>
        <v>-134496</v>
      </c>
      <c r="S125" s="64">
        <f>+M125+VLOOKUP(A125,'Change in Proportion Layers'!$A$8:$Y$324,5,FALSE)+VLOOKUP(A125,'Change in Proportion Layers'!$A$8:$Y$324,12,FALSE)+VLOOKUP(A125,'Change in Proportion Layers'!$A$8:$Y$324,18,FALSE)</f>
        <v>-103465</v>
      </c>
      <c r="T125" s="64">
        <f>+N125+VLOOKUP(A125,'Change in Proportion Layers'!$A$8:$Y$324,6,FALSE)+VLOOKUP(A125,'Change in Proportion Layers'!$A$8:$Y$324,13,FALSE)</f>
        <v>-88283</v>
      </c>
      <c r="U125" s="64">
        <f>+O125+VLOOKUP(A125,'Change in Proportion Layers'!$A$8:$Y$324,7,FALSE)+1</f>
        <v>-46458</v>
      </c>
      <c r="W125" s="64">
        <f>('OPEB Amounts_Report'!H123-'OPEB Amounts_Report'!M123)</f>
        <v>-1242550</v>
      </c>
      <c r="X125" s="129">
        <f>SUM(Q125:U125)-('OPEB Amounts_Report'!H125-'OPEB Amounts_Report'!M125)</f>
        <v>0</v>
      </c>
    </row>
    <row r="126" spans="1:24">
      <c r="A126" s="187">
        <v>9150</v>
      </c>
      <c r="B126" s="188" t="s">
        <v>114</v>
      </c>
      <c r="C126" s="5">
        <f t="shared" si="2"/>
        <v>-537217</v>
      </c>
      <c r="D126" s="5">
        <f t="shared" si="2"/>
        <v>-204230</v>
      </c>
      <c r="E126" s="5">
        <f t="shared" si="2"/>
        <v>-144475</v>
      </c>
      <c r="F126" s="5">
        <f t="shared" si="2"/>
        <v>-61503</v>
      </c>
      <c r="G126" s="5">
        <f t="shared" si="2"/>
        <v>-26615</v>
      </c>
      <c r="I126" s="186"/>
      <c r="K126" s="64">
        <f>ROUND(VLOOKUP($A126,'Contribution Allocation_Report'!$A$9:$D$311,4,FALSE)*$K$326,0)</f>
        <v>-62403</v>
      </c>
      <c r="L126" s="64">
        <f>ROUND(VLOOKUP($A126,'Contribution Allocation_Report'!$A$9:$D$311,4,FALSE)*$L$326,0)</f>
        <v>-45346</v>
      </c>
      <c r="M126" s="64">
        <f>ROUND(VLOOKUP($A126,'Contribution Allocation_Report'!$A$9:$D$311,4,FALSE)*$M$326,0)</f>
        <v>-27365</v>
      </c>
      <c r="N126" s="64">
        <f>ROUND(VLOOKUP($A126,'Contribution Allocation_Report'!$A$9:$D$311,4,FALSE)*$N$326,0)</f>
        <v>-41257</v>
      </c>
      <c r="O126" s="64">
        <f>ROUND(VLOOKUP($A126,'Contribution Allocation_Report'!$A$9:$D$311,4,FALSE)*$O$326,0)</f>
        <v>-23503</v>
      </c>
      <c r="Q126" s="64">
        <f>+K126+VLOOKUP(A126,'Change in Proportion Layers'!$A$8:$N$324,3,FALSE)+VLOOKUP(A126,'Change in Proportion Layers'!$A$8:$Y$324,10,FALSE)+VLOOKUP(A126,'Change in Proportion Layers'!$A$8:$Y$324,16,FALSE)+VLOOKUP(A126,'Change in Proportion Layers'!$A$8:$Y$324,21,FALSE)+VLOOKUP(A126,'Change in Proportion Layers'!$A$8:$Y$324,25,FALSE)</f>
        <v>-537217</v>
      </c>
      <c r="R126" s="64">
        <f>+L126+VLOOKUP(A126,'Change in Proportion Layers'!$A$8:$Y$324,4,FALSE)+VLOOKUP(A126,'Change in Proportion Layers'!$A$8:$Y$324,11,FALSE)+VLOOKUP(A126,'Change in Proportion Layers'!$A$8:$Y$324,17,FALSE)+VLOOKUP(A126,'Change in Proportion Layers'!$A$8:$Y$324,22,FALSE)</f>
        <v>-204230</v>
      </c>
      <c r="S126" s="64">
        <f>+M126+VLOOKUP(A126,'Change in Proportion Layers'!$A$8:$Y$324,5,FALSE)+VLOOKUP(A126,'Change in Proportion Layers'!$A$8:$Y$324,12,FALSE)+VLOOKUP(A126,'Change in Proportion Layers'!$A$8:$Y$324,18,FALSE)</f>
        <v>-144475</v>
      </c>
      <c r="T126" s="64">
        <f>+N126+VLOOKUP(A126,'Change in Proportion Layers'!$A$8:$Y$324,6,FALSE)+VLOOKUP(A126,'Change in Proportion Layers'!$A$8:$Y$324,13,FALSE)</f>
        <v>-61503</v>
      </c>
      <c r="U126" s="64">
        <f>+O126+VLOOKUP(A126,'Change in Proportion Layers'!$A$8:$Y$324,7,FALSE)+1</f>
        <v>-26615</v>
      </c>
      <c r="W126" s="64">
        <f>('OPEB Amounts_Report'!H124-'OPEB Amounts_Report'!M124)</f>
        <v>-2131177</v>
      </c>
      <c r="X126" s="129">
        <f>SUM(Q126:U126)-('OPEB Amounts_Report'!H126-'OPEB Amounts_Report'!M126)</f>
        <v>0</v>
      </c>
    </row>
    <row r="127" spans="1:24">
      <c r="A127" s="184">
        <v>6017</v>
      </c>
      <c r="B127" s="185" t="s">
        <v>115</v>
      </c>
      <c r="C127" s="63">
        <f t="shared" si="2"/>
        <v>-5160648</v>
      </c>
      <c r="D127" s="63">
        <f t="shared" si="2"/>
        <v>-3037427</v>
      </c>
      <c r="E127" s="63">
        <f t="shared" si="2"/>
        <v>-1563653</v>
      </c>
      <c r="F127" s="63">
        <f t="shared" si="2"/>
        <v>-3253471</v>
      </c>
      <c r="G127" s="63">
        <f t="shared" si="2"/>
        <v>-2324938</v>
      </c>
      <c r="I127" s="186"/>
      <c r="K127" s="64">
        <f>ROUND(VLOOKUP($A127,'Contribution Allocation_Report'!$A$9:$D$311,4,FALSE)*$K$326,0)</f>
        <v>-5850231</v>
      </c>
      <c r="L127" s="64">
        <f>ROUND(VLOOKUP($A127,'Contribution Allocation_Report'!$A$9:$D$311,4,FALSE)*$L$326,0)</f>
        <v>-4251107</v>
      </c>
      <c r="M127" s="64">
        <f>ROUND(VLOOKUP($A127,'Contribution Allocation_Report'!$A$9:$D$311,4,FALSE)*$M$326,0)</f>
        <v>-2565395</v>
      </c>
      <c r="N127" s="64">
        <f>ROUND(VLOOKUP($A127,'Contribution Allocation_Report'!$A$9:$D$311,4,FALSE)*$N$326,0)</f>
        <v>-3867771</v>
      </c>
      <c r="O127" s="64">
        <f>ROUND(VLOOKUP($A127,'Contribution Allocation_Report'!$A$9:$D$311,4,FALSE)*$O$326,0)</f>
        <v>-2203350</v>
      </c>
      <c r="Q127" s="64">
        <f>+K127+VLOOKUP(A127,'Change in Proportion Layers'!$A$8:$N$324,3,FALSE)+VLOOKUP(A127,'Change in Proportion Layers'!$A$8:$Y$324,10,FALSE)+VLOOKUP(A127,'Change in Proportion Layers'!$A$8:$Y$324,16,FALSE)+VLOOKUP(A127,'Change in Proportion Layers'!$A$8:$Y$324,21,FALSE)+VLOOKUP(A127,'Change in Proportion Layers'!$A$8:$Y$324,25,FALSE)</f>
        <v>-5160648</v>
      </c>
      <c r="R127" s="64">
        <f>+L127+VLOOKUP(A127,'Change in Proportion Layers'!$A$8:$Y$324,4,FALSE)+VLOOKUP(A127,'Change in Proportion Layers'!$A$8:$Y$324,11,FALSE)+VLOOKUP(A127,'Change in Proportion Layers'!$A$8:$Y$324,17,FALSE)+VLOOKUP(A127,'Change in Proportion Layers'!$A$8:$Y$324,22,FALSE)</f>
        <v>-3037427</v>
      </c>
      <c r="S127" s="64">
        <f>+M127+VLOOKUP(A127,'Change in Proportion Layers'!$A$8:$Y$324,5,FALSE)+VLOOKUP(A127,'Change in Proportion Layers'!$A$8:$Y$324,12,FALSE)+VLOOKUP(A127,'Change in Proportion Layers'!$A$8:$Y$324,18,FALSE)</f>
        <v>-1563653</v>
      </c>
      <c r="T127" s="64">
        <f>+N127+VLOOKUP(A127,'Change in Proportion Layers'!$A$8:$Y$324,6,FALSE)+VLOOKUP(A127,'Change in Proportion Layers'!$A$8:$Y$324,13,FALSE)</f>
        <v>-3253471</v>
      </c>
      <c r="U127" s="64">
        <f>+O127+VLOOKUP(A127,'Change in Proportion Layers'!$A$8:$Y$324,7,FALSE)</f>
        <v>-2324938</v>
      </c>
      <c r="W127" s="64">
        <f>('OPEB Amounts_Report'!H125-'OPEB Amounts_Report'!M125)</f>
        <v>-525860</v>
      </c>
      <c r="X127" s="129">
        <f>SUM(Q127:U127)-('OPEB Amounts_Report'!H127-'OPEB Amounts_Report'!M127)</f>
        <v>0</v>
      </c>
    </row>
    <row r="128" spans="1:24">
      <c r="A128" s="187">
        <v>26080</v>
      </c>
      <c r="B128" s="188" t="s">
        <v>116</v>
      </c>
      <c r="C128" s="5">
        <f t="shared" si="2"/>
        <v>-120316</v>
      </c>
      <c r="D128" s="5">
        <f t="shared" si="2"/>
        <v>-74444</v>
      </c>
      <c r="E128" s="5">
        <f t="shared" si="2"/>
        <v>-22296</v>
      </c>
      <c r="F128" s="5">
        <f t="shared" si="2"/>
        <v>-64622</v>
      </c>
      <c r="G128" s="5">
        <f t="shared" si="2"/>
        <v>-34441</v>
      </c>
      <c r="I128" s="186"/>
      <c r="K128" s="64">
        <f>ROUND(VLOOKUP($A128,'Contribution Allocation_Report'!$A$9:$D$311,4,FALSE)*$K$326,0)</f>
        <v>-187669</v>
      </c>
      <c r="L128" s="64">
        <f>ROUND(VLOOKUP($A128,'Contribution Allocation_Report'!$A$9:$D$311,4,FALSE)*$L$326,0)</f>
        <v>-136371</v>
      </c>
      <c r="M128" s="64">
        <f>ROUND(VLOOKUP($A128,'Contribution Allocation_Report'!$A$9:$D$311,4,FALSE)*$M$326,0)</f>
        <v>-82295</v>
      </c>
      <c r="N128" s="64">
        <f>ROUND(VLOOKUP($A128,'Contribution Allocation_Report'!$A$9:$D$311,4,FALSE)*$N$326,0)</f>
        <v>-124074</v>
      </c>
      <c r="O128" s="64">
        <f>ROUND(VLOOKUP($A128,'Contribution Allocation_Report'!$A$9:$D$311,4,FALSE)*$O$326,0)</f>
        <v>-70681</v>
      </c>
      <c r="Q128" s="64">
        <f>+K128+VLOOKUP(A128,'Change in Proportion Layers'!$A$8:$N$324,3,FALSE)+VLOOKUP(A128,'Change in Proportion Layers'!$A$8:$Y$324,10,FALSE)+VLOOKUP(A128,'Change in Proportion Layers'!$A$8:$Y$324,16,FALSE)+VLOOKUP(A128,'Change in Proportion Layers'!$A$8:$Y$324,21,FALSE)+VLOOKUP(A128,'Change in Proportion Layers'!$A$8:$Y$324,25,FALSE)</f>
        <v>-120316</v>
      </c>
      <c r="R128" s="64">
        <f>+L128+VLOOKUP(A128,'Change in Proportion Layers'!$A$8:$Y$324,4,FALSE)+VLOOKUP(A128,'Change in Proportion Layers'!$A$8:$Y$324,11,FALSE)+VLOOKUP(A128,'Change in Proportion Layers'!$A$8:$Y$324,17,FALSE)+VLOOKUP(A128,'Change in Proportion Layers'!$A$8:$Y$324,22,FALSE)</f>
        <v>-74444</v>
      </c>
      <c r="S128" s="64">
        <f>+M128+VLOOKUP(A128,'Change in Proportion Layers'!$A$8:$Y$324,5,FALSE)+VLOOKUP(A128,'Change in Proportion Layers'!$A$8:$Y$324,12,FALSE)+VLOOKUP(A128,'Change in Proportion Layers'!$A$8:$Y$324,18,FALSE)</f>
        <v>-22296</v>
      </c>
      <c r="T128" s="64">
        <f>+N128+VLOOKUP(A128,'Change in Proportion Layers'!$A$8:$Y$324,6,FALSE)+VLOOKUP(A128,'Change in Proportion Layers'!$A$8:$Y$324,13,FALSE)</f>
        <v>-64622</v>
      </c>
      <c r="U128" s="64">
        <f>+O128+VLOOKUP(A128,'Change in Proportion Layers'!$A$8:$Y$324,7,FALSE)</f>
        <v>-34441</v>
      </c>
      <c r="W128" s="64">
        <f>('OPEB Amounts_Report'!H126-'OPEB Amounts_Report'!M126)</f>
        <v>-974040</v>
      </c>
      <c r="X128" s="129">
        <f>SUM(Q128:U128)-('OPEB Amounts_Report'!H128-'OPEB Amounts_Report'!M128)</f>
        <v>0</v>
      </c>
    </row>
    <row r="129" spans="1:24">
      <c r="A129" s="184">
        <v>2327</v>
      </c>
      <c r="B129" s="185" t="s">
        <v>117</v>
      </c>
      <c r="C129" s="63">
        <f t="shared" si="2"/>
        <v>-204794</v>
      </c>
      <c r="D129" s="63">
        <f t="shared" si="2"/>
        <v>-159831</v>
      </c>
      <c r="E129" s="63">
        <f t="shared" si="2"/>
        <v>-103778</v>
      </c>
      <c r="F129" s="63">
        <f t="shared" si="2"/>
        <v>-167713</v>
      </c>
      <c r="G129" s="63">
        <f t="shared" si="2"/>
        <v>-76372</v>
      </c>
      <c r="I129" s="186"/>
      <c r="K129" s="64">
        <f>ROUND(VLOOKUP($A129,'Contribution Allocation_Report'!$A$9:$D$311,4,FALSE)*$K$326,0)</f>
        <v>-201115</v>
      </c>
      <c r="L129" s="64">
        <f>ROUND(VLOOKUP($A129,'Contribution Allocation_Report'!$A$9:$D$311,4,FALSE)*$L$326,0)</f>
        <v>-146141</v>
      </c>
      <c r="M129" s="64">
        <f>ROUND(VLOOKUP($A129,'Contribution Allocation_Report'!$A$9:$D$311,4,FALSE)*$M$326,0)</f>
        <v>-88191</v>
      </c>
      <c r="N129" s="64">
        <f>ROUND(VLOOKUP($A129,'Contribution Allocation_Report'!$A$9:$D$311,4,FALSE)*$N$326,0)</f>
        <v>-132963</v>
      </c>
      <c r="O129" s="64">
        <f>ROUND(VLOOKUP($A129,'Contribution Allocation_Report'!$A$9:$D$311,4,FALSE)*$O$326,0)</f>
        <v>-75745</v>
      </c>
      <c r="Q129" s="64">
        <f>+K129+VLOOKUP(A129,'Change in Proportion Layers'!$A$8:$N$324,3,FALSE)+VLOOKUP(A129,'Change in Proportion Layers'!$A$8:$Y$324,10,FALSE)+VLOOKUP(A129,'Change in Proportion Layers'!$A$8:$Y$324,16,FALSE)+VLOOKUP(A129,'Change in Proportion Layers'!$A$8:$Y$324,21,FALSE)+VLOOKUP(A129,'Change in Proportion Layers'!$A$8:$Y$324,25,FALSE)</f>
        <v>-204794</v>
      </c>
      <c r="R129" s="64">
        <f>+L129+VLOOKUP(A129,'Change in Proportion Layers'!$A$8:$Y$324,4,FALSE)+VLOOKUP(A129,'Change in Proportion Layers'!$A$8:$Y$324,11,FALSE)+VLOOKUP(A129,'Change in Proportion Layers'!$A$8:$Y$324,17,FALSE)+VLOOKUP(A129,'Change in Proportion Layers'!$A$8:$Y$324,22,FALSE)</f>
        <v>-159831</v>
      </c>
      <c r="S129" s="64">
        <f>+M129+VLOOKUP(A129,'Change in Proportion Layers'!$A$8:$Y$324,5,FALSE)+VLOOKUP(A129,'Change in Proportion Layers'!$A$8:$Y$324,12,FALSE)+VLOOKUP(A129,'Change in Proportion Layers'!$A$8:$Y$324,18,FALSE)</f>
        <v>-103778</v>
      </c>
      <c r="T129" s="64">
        <f>+N129+VLOOKUP(A129,'Change in Proportion Layers'!$A$8:$Y$324,6,FALSE)+VLOOKUP(A129,'Change in Proportion Layers'!$A$8:$Y$324,13,FALSE)</f>
        <v>-167713</v>
      </c>
      <c r="U129" s="64">
        <f>+O129+VLOOKUP(A129,'Change in Proportion Layers'!$A$8:$Y$324,7,FALSE)-1</f>
        <v>-76372</v>
      </c>
      <c r="W129" s="64">
        <f>('OPEB Amounts_Report'!H127-'OPEB Amounts_Report'!M127)</f>
        <v>-15340137</v>
      </c>
      <c r="X129" s="129">
        <f>SUM(Q129:U129)-('OPEB Amounts_Report'!H129-'OPEB Amounts_Report'!M129)</f>
        <v>0</v>
      </c>
    </row>
    <row r="130" spans="1:24">
      <c r="A130" s="187">
        <v>10119</v>
      </c>
      <c r="B130" s="188" t="s">
        <v>118</v>
      </c>
      <c r="C130" s="5">
        <f t="shared" si="2"/>
        <v>-155101</v>
      </c>
      <c r="D130" s="5">
        <f t="shared" si="2"/>
        <v>-101296</v>
      </c>
      <c r="E130" s="5">
        <f t="shared" si="2"/>
        <v>-71489</v>
      </c>
      <c r="F130" s="5">
        <f t="shared" si="2"/>
        <v>-78367</v>
      </c>
      <c r="G130" s="5">
        <f t="shared" si="2"/>
        <v>-52107</v>
      </c>
      <c r="I130" s="186"/>
      <c r="K130" s="64">
        <f>ROUND(VLOOKUP($A130,'Contribution Allocation_Report'!$A$9:$D$311,4,FALSE)*$K$326,0)</f>
        <v>-102315</v>
      </c>
      <c r="L130" s="64">
        <f>ROUND(VLOOKUP($A130,'Contribution Allocation_Report'!$A$9:$D$311,4,FALSE)*$L$326,0)</f>
        <v>-74347</v>
      </c>
      <c r="M130" s="64">
        <f>ROUND(VLOOKUP($A130,'Contribution Allocation_Report'!$A$9:$D$311,4,FALSE)*$M$326,0)</f>
        <v>-44866</v>
      </c>
      <c r="N130" s="64">
        <f>ROUND(VLOOKUP($A130,'Contribution Allocation_Report'!$A$9:$D$311,4,FALSE)*$N$326,0)</f>
        <v>-67643</v>
      </c>
      <c r="O130" s="64">
        <f>ROUND(VLOOKUP($A130,'Contribution Allocation_Report'!$A$9:$D$311,4,FALSE)*$O$326,0)</f>
        <v>-38534</v>
      </c>
      <c r="Q130" s="64">
        <f>+K130+VLOOKUP(A130,'Change in Proportion Layers'!$A$8:$N$324,3,FALSE)+VLOOKUP(A130,'Change in Proportion Layers'!$A$8:$Y$324,10,FALSE)+VLOOKUP(A130,'Change in Proportion Layers'!$A$8:$Y$324,16,FALSE)+VLOOKUP(A130,'Change in Proportion Layers'!$A$8:$Y$324,21,FALSE)+VLOOKUP(A130,'Change in Proportion Layers'!$A$8:$Y$324,25,FALSE)</f>
        <v>-155101</v>
      </c>
      <c r="R130" s="64">
        <f>+L130+VLOOKUP(A130,'Change in Proportion Layers'!$A$8:$Y$324,4,FALSE)+VLOOKUP(A130,'Change in Proportion Layers'!$A$8:$Y$324,11,FALSE)+VLOOKUP(A130,'Change in Proportion Layers'!$A$8:$Y$324,17,FALSE)+VLOOKUP(A130,'Change in Proportion Layers'!$A$8:$Y$324,22,FALSE)</f>
        <v>-101296</v>
      </c>
      <c r="S130" s="64">
        <f>+M130+VLOOKUP(A130,'Change in Proportion Layers'!$A$8:$Y$324,5,FALSE)+VLOOKUP(A130,'Change in Proportion Layers'!$A$8:$Y$324,12,FALSE)+VLOOKUP(A130,'Change in Proportion Layers'!$A$8:$Y$324,18,FALSE)</f>
        <v>-71489</v>
      </c>
      <c r="T130" s="64">
        <f>+N130+VLOOKUP(A130,'Change in Proportion Layers'!$A$8:$Y$324,6,FALSE)+VLOOKUP(A130,'Change in Proportion Layers'!$A$8:$Y$324,13,FALSE)</f>
        <v>-78367</v>
      </c>
      <c r="U130" s="64">
        <f>+O130+VLOOKUP(A130,'Change in Proportion Layers'!$A$8:$Y$324,7,FALSE)-1</f>
        <v>-52107</v>
      </c>
      <c r="W130" s="64">
        <f>('OPEB Amounts_Report'!H128-'OPEB Amounts_Report'!M128)</f>
        <v>-316119</v>
      </c>
      <c r="X130" s="129">
        <f>SUM(Q130:U130)-('OPEB Amounts_Report'!H130-'OPEB Amounts_Report'!M130)</f>
        <v>0</v>
      </c>
    </row>
    <row r="131" spans="1:24">
      <c r="A131" s="184">
        <v>573</v>
      </c>
      <c r="B131" s="185" t="s">
        <v>411</v>
      </c>
      <c r="C131" s="63">
        <f t="shared" si="2"/>
        <v>211301</v>
      </c>
      <c r="D131" s="63">
        <f t="shared" si="2"/>
        <v>235920</v>
      </c>
      <c r="E131" s="63">
        <f t="shared" si="2"/>
        <v>225185</v>
      </c>
      <c r="F131" s="63">
        <f t="shared" si="2"/>
        <v>33196</v>
      </c>
      <c r="G131" s="63">
        <f t="shared" si="2"/>
        <v>17061</v>
      </c>
      <c r="I131" s="186"/>
      <c r="K131" s="64">
        <f>ROUND(VLOOKUP($A131,'Contribution Allocation_Report'!$A$9:$D$311,4,FALSE)*$K$326,0)</f>
        <v>-261927</v>
      </c>
      <c r="L131" s="64">
        <f>ROUND(VLOOKUP($A131,'Contribution Allocation_Report'!$A$9:$D$311,4,FALSE)*$L$326,0)</f>
        <v>-190331</v>
      </c>
      <c r="M131" s="64">
        <f>ROUND(VLOOKUP($A131,'Contribution Allocation_Report'!$A$9:$D$311,4,FALSE)*$M$326,0)</f>
        <v>-114858</v>
      </c>
      <c r="N131" s="64">
        <f>ROUND(VLOOKUP($A131,'Contribution Allocation_Report'!$A$9:$D$311,4,FALSE)*$N$326,0)</f>
        <v>-173168</v>
      </c>
      <c r="O131" s="64">
        <f>ROUND(VLOOKUP($A131,'Contribution Allocation_Report'!$A$9:$D$311,4,FALSE)*$O$326,0)</f>
        <v>-98648</v>
      </c>
      <c r="Q131" s="64">
        <f>+K131+VLOOKUP(A131,'Change in Proportion Layers'!$A$8:$N$324,3,FALSE)+VLOOKUP(A131,'Change in Proportion Layers'!$A$8:$Y$324,10,FALSE)+VLOOKUP(A131,'Change in Proportion Layers'!$A$8:$Y$324,16,FALSE)+VLOOKUP(A131,'Change in Proportion Layers'!$A$8:$Y$324,21,FALSE)+VLOOKUP(A131,'Change in Proportion Layers'!$A$8:$Y$324,25,FALSE)</f>
        <v>211301</v>
      </c>
      <c r="R131" s="64">
        <f>+L131+VLOOKUP(A131,'Change in Proportion Layers'!$A$8:$Y$324,4,FALSE)+VLOOKUP(A131,'Change in Proportion Layers'!$A$8:$Y$324,11,FALSE)+VLOOKUP(A131,'Change in Proportion Layers'!$A$8:$Y$324,17,FALSE)+VLOOKUP(A131,'Change in Proportion Layers'!$A$8:$Y$324,22,FALSE)</f>
        <v>235920</v>
      </c>
      <c r="S131" s="64">
        <f>+M131+VLOOKUP(A131,'Change in Proportion Layers'!$A$8:$Y$324,5,FALSE)+VLOOKUP(A131,'Change in Proportion Layers'!$A$8:$Y$324,12,FALSE)+VLOOKUP(A131,'Change in Proportion Layers'!$A$8:$Y$324,18,FALSE)</f>
        <v>225185</v>
      </c>
      <c r="T131" s="64">
        <f>+N131+VLOOKUP(A131,'Change in Proportion Layers'!$A$8:$Y$324,6,FALSE)+VLOOKUP(A131,'Change in Proportion Layers'!$A$8:$Y$324,13,FALSE)</f>
        <v>33196</v>
      </c>
      <c r="U131" s="64">
        <f>+O131+VLOOKUP(A131,'Change in Proportion Layers'!$A$8:$Y$324,7,FALSE)</f>
        <v>17061</v>
      </c>
      <c r="W131" s="64">
        <f>('OPEB Amounts_Report'!H129-'OPEB Amounts_Report'!M129)</f>
        <v>-712488</v>
      </c>
      <c r="X131" s="129">
        <f>SUM(Q131:U131)-('OPEB Amounts_Report'!H131-'OPEB Amounts_Report'!M131)</f>
        <v>0</v>
      </c>
    </row>
    <row r="132" spans="1:24">
      <c r="A132" s="187">
        <v>2368</v>
      </c>
      <c r="B132" s="188" t="s">
        <v>119</v>
      </c>
      <c r="C132" s="5">
        <f t="shared" si="2"/>
        <v>-156638</v>
      </c>
      <c r="D132" s="5">
        <f t="shared" si="2"/>
        <v>-125498</v>
      </c>
      <c r="E132" s="5">
        <f t="shared" si="2"/>
        <v>-37888</v>
      </c>
      <c r="F132" s="5">
        <f t="shared" si="2"/>
        <v>-90892</v>
      </c>
      <c r="G132" s="5">
        <f t="shared" si="2"/>
        <v>-126942</v>
      </c>
      <c r="I132" s="186"/>
      <c r="K132" s="64">
        <f>ROUND(VLOOKUP($A132,'Contribution Allocation_Report'!$A$9:$D$311,4,FALSE)*$K$326,0)</f>
        <v>-196174</v>
      </c>
      <c r="L132" s="64">
        <f>ROUND(VLOOKUP($A132,'Contribution Allocation_Report'!$A$9:$D$311,4,FALSE)*$L$326,0)</f>
        <v>-142551</v>
      </c>
      <c r="M132" s="64">
        <f>ROUND(VLOOKUP($A132,'Contribution Allocation_Report'!$A$9:$D$311,4,FALSE)*$M$326,0)</f>
        <v>-86025</v>
      </c>
      <c r="N132" s="64">
        <f>ROUND(VLOOKUP($A132,'Contribution Allocation_Report'!$A$9:$D$311,4,FALSE)*$N$326,0)</f>
        <v>-129697</v>
      </c>
      <c r="O132" s="64">
        <f>ROUND(VLOOKUP($A132,'Contribution Allocation_Report'!$A$9:$D$311,4,FALSE)*$O$326,0)</f>
        <v>-73884</v>
      </c>
      <c r="Q132" s="64">
        <f>+K132+VLOOKUP(A132,'Change in Proportion Layers'!$A$8:$N$324,3,FALSE)+VLOOKUP(A132,'Change in Proportion Layers'!$A$8:$Y$324,10,FALSE)+VLOOKUP(A132,'Change in Proportion Layers'!$A$8:$Y$324,16,FALSE)+VLOOKUP(A132,'Change in Proportion Layers'!$A$8:$Y$324,21,FALSE)+VLOOKUP(A132,'Change in Proportion Layers'!$A$8:$Y$324,25,FALSE)</f>
        <v>-156638</v>
      </c>
      <c r="R132" s="64">
        <f>+L132+VLOOKUP(A132,'Change in Proportion Layers'!$A$8:$Y$324,4,FALSE)+VLOOKUP(A132,'Change in Proportion Layers'!$A$8:$Y$324,11,FALSE)+VLOOKUP(A132,'Change in Proportion Layers'!$A$8:$Y$324,17,FALSE)+VLOOKUP(A132,'Change in Proportion Layers'!$A$8:$Y$324,22,FALSE)</f>
        <v>-125498</v>
      </c>
      <c r="S132" s="64">
        <f>+M132+VLOOKUP(A132,'Change in Proportion Layers'!$A$8:$Y$324,5,FALSE)+VLOOKUP(A132,'Change in Proportion Layers'!$A$8:$Y$324,12,FALSE)+VLOOKUP(A132,'Change in Proportion Layers'!$A$8:$Y$324,18,FALSE)</f>
        <v>-37888</v>
      </c>
      <c r="T132" s="64">
        <f>+N132+VLOOKUP(A132,'Change in Proportion Layers'!$A$8:$Y$324,6,FALSE)+VLOOKUP(A132,'Change in Proportion Layers'!$A$8:$Y$324,13,FALSE)</f>
        <v>-90892</v>
      </c>
      <c r="U132" s="64">
        <f>+O132+VLOOKUP(A132,'Change in Proportion Layers'!$A$8:$Y$324,7,FALSE)-1</f>
        <v>-126942</v>
      </c>
      <c r="W132" s="64">
        <f>('OPEB Amounts_Report'!H130-'OPEB Amounts_Report'!M130)</f>
        <v>-458360</v>
      </c>
      <c r="X132" s="129">
        <f>SUM(Q132:U132)-('OPEB Amounts_Report'!H132-'OPEB Amounts_Report'!M132)</f>
        <v>0</v>
      </c>
    </row>
    <row r="133" spans="1:24">
      <c r="A133" s="184">
        <v>7420</v>
      </c>
      <c r="B133" s="185" t="s">
        <v>120</v>
      </c>
      <c r="C133" s="63">
        <f t="shared" si="2"/>
        <v>-52625</v>
      </c>
      <c r="D133" s="63">
        <f t="shared" si="2"/>
        <v>-54226</v>
      </c>
      <c r="E133" s="63">
        <f t="shared" si="2"/>
        <v>-26746</v>
      </c>
      <c r="F133" s="63">
        <f t="shared" si="2"/>
        <v>-50527</v>
      </c>
      <c r="G133" s="63">
        <f t="shared" si="2"/>
        <v>-32375</v>
      </c>
      <c r="I133" s="186"/>
      <c r="K133" s="64">
        <f>ROUND(VLOOKUP($A133,'Contribution Allocation_Report'!$A$9:$D$311,4,FALSE)*$K$326,0)</f>
        <v>-119504</v>
      </c>
      <c r="L133" s="64">
        <f>ROUND(VLOOKUP($A133,'Contribution Allocation_Report'!$A$9:$D$311,4,FALSE)*$L$326,0)</f>
        <v>-86838</v>
      </c>
      <c r="M133" s="64">
        <f>ROUND(VLOOKUP($A133,'Contribution Allocation_Report'!$A$9:$D$311,4,FALSE)*$M$326,0)</f>
        <v>-52404</v>
      </c>
      <c r="N133" s="64">
        <f>ROUND(VLOOKUP($A133,'Contribution Allocation_Report'!$A$9:$D$311,4,FALSE)*$N$326,0)</f>
        <v>-79008</v>
      </c>
      <c r="O133" s="64">
        <f>ROUND(VLOOKUP($A133,'Contribution Allocation_Report'!$A$9:$D$311,4,FALSE)*$O$326,0)</f>
        <v>-45008</v>
      </c>
      <c r="Q133" s="64">
        <f>+K133+VLOOKUP(A133,'Change in Proportion Layers'!$A$8:$N$324,3,FALSE)+VLOOKUP(A133,'Change in Proportion Layers'!$A$8:$Y$324,10,FALSE)+VLOOKUP(A133,'Change in Proportion Layers'!$A$8:$Y$324,16,FALSE)+VLOOKUP(A133,'Change in Proportion Layers'!$A$8:$Y$324,21,FALSE)+VLOOKUP(A133,'Change in Proportion Layers'!$A$8:$Y$324,25,FALSE)</f>
        <v>-52625</v>
      </c>
      <c r="R133" s="64">
        <f>+L133+VLOOKUP(A133,'Change in Proportion Layers'!$A$8:$Y$324,4,FALSE)+VLOOKUP(A133,'Change in Proportion Layers'!$A$8:$Y$324,11,FALSE)+VLOOKUP(A133,'Change in Proportion Layers'!$A$8:$Y$324,17,FALSE)+VLOOKUP(A133,'Change in Proportion Layers'!$A$8:$Y$324,22,FALSE)</f>
        <v>-54226</v>
      </c>
      <c r="S133" s="64">
        <f>+M133+VLOOKUP(A133,'Change in Proportion Layers'!$A$8:$Y$324,5,FALSE)+VLOOKUP(A133,'Change in Proportion Layers'!$A$8:$Y$324,12,FALSE)+VLOOKUP(A133,'Change in Proportion Layers'!$A$8:$Y$324,18,FALSE)</f>
        <v>-26746</v>
      </c>
      <c r="T133" s="64">
        <f>+N133+VLOOKUP(A133,'Change in Proportion Layers'!$A$8:$Y$324,6,FALSE)+VLOOKUP(A133,'Change in Proportion Layers'!$A$8:$Y$324,13,FALSE)</f>
        <v>-50527</v>
      </c>
      <c r="U133" s="64">
        <f>+O133+VLOOKUP(A133,'Change in Proportion Layers'!$A$8:$Y$324,7,FALSE)+1</f>
        <v>-32375</v>
      </c>
      <c r="W133" s="64">
        <f>('OPEB Amounts_Report'!H131-'OPEB Amounts_Report'!M131)</f>
        <v>722663</v>
      </c>
      <c r="X133" s="129">
        <f>SUM(Q133:U133)-('OPEB Amounts_Report'!H133-'OPEB Amounts_Report'!M133)</f>
        <v>0</v>
      </c>
    </row>
    <row r="134" spans="1:24">
      <c r="A134" s="187">
        <v>6018</v>
      </c>
      <c r="B134" s="188" t="s">
        <v>121</v>
      </c>
      <c r="C134" s="5">
        <f t="shared" si="2"/>
        <v>-289337</v>
      </c>
      <c r="D134" s="5">
        <f t="shared" si="2"/>
        <v>-214206</v>
      </c>
      <c r="E134" s="5">
        <f t="shared" si="2"/>
        <v>-115965</v>
      </c>
      <c r="F134" s="5">
        <f t="shared" si="2"/>
        <v>-199329</v>
      </c>
      <c r="G134" s="5">
        <f t="shared" si="2"/>
        <v>-129186</v>
      </c>
      <c r="I134" s="186"/>
      <c r="K134" s="64">
        <f>ROUND(VLOOKUP($A134,'Contribution Allocation_Report'!$A$9:$D$311,4,FALSE)*$K$326,0)</f>
        <v>-335065</v>
      </c>
      <c r="L134" s="64">
        <f>ROUND(VLOOKUP($A134,'Contribution Allocation_Report'!$A$9:$D$311,4,FALSE)*$L$326,0)</f>
        <v>-243477</v>
      </c>
      <c r="M134" s="64">
        <f>ROUND(VLOOKUP($A134,'Contribution Allocation_Report'!$A$9:$D$311,4,FALSE)*$M$326,0)</f>
        <v>-146930</v>
      </c>
      <c r="N134" s="64">
        <f>ROUND(VLOOKUP($A134,'Contribution Allocation_Report'!$A$9:$D$311,4,FALSE)*$N$326,0)</f>
        <v>-221522</v>
      </c>
      <c r="O134" s="64">
        <f>ROUND(VLOOKUP($A134,'Contribution Allocation_Report'!$A$9:$D$311,4,FALSE)*$O$326,0)</f>
        <v>-126194</v>
      </c>
      <c r="Q134" s="64">
        <f>+K134+VLOOKUP(A134,'Change in Proportion Layers'!$A$8:$N$324,3,FALSE)+VLOOKUP(A134,'Change in Proportion Layers'!$A$8:$Y$324,10,FALSE)+VLOOKUP(A134,'Change in Proportion Layers'!$A$8:$Y$324,16,FALSE)+VLOOKUP(A134,'Change in Proportion Layers'!$A$8:$Y$324,21,FALSE)+VLOOKUP(A134,'Change in Proportion Layers'!$A$8:$Y$324,25,FALSE)</f>
        <v>-289337</v>
      </c>
      <c r="R134" s="64">
        <f>+L134+VLOOKUP(A134,'Change in Proportion Layers'!$A$8:$Y$324,4,FALSE)+VLOOKUP(A134,'Change in Proportion Layers'!$A$8:$Y$324,11,FALSE)+VLOOKUP(A134,'Change in Proportion Layers'!$A$8:$Y$324,17,FALSE)+VLOOKUP(A134,'Change in Proportion Layers'!$A$8:$Y$324,22,FALSE)</f>
        <v>-214206</v>
      </c>
      <c r="S134" s="64">
        <f>+M134+VLOOKUP(A134,'Change in Proportion Layers'!$A$8:$Y$324,5,FALSE)+VLOOKUP(A134,'Change in Proportion Layers'!$A$8:$Y$324,12,FALSE)+VLOOKUP(A134,'Change in Proportion Layers'!$A$8:$Y$324,18,FALSE)</f>
        <v>-115965</v>
      </c>
      <c r="T134" s="64">
        <f>+N134+VLOOKUP(A134,'Change in Proportion Layers'!$A$8:$Y$324,6,FALSE)+VLOOKUP(A134,'Change in Proportion Layers'!$A$8:$Y$324,13,FALSE)</f>
        <v>-199329</v>
      </c>
      <c r="U134" s="64">
        <f>+O134+VLOOKUP(A134,'Change in Proportion Layers'!$A$8:$Y$324,7,FALSE)</f>
        <v>-129186</v>
      </c>
      <c r="W134" s="64">
        <f>('OPEB Amounts_Report'!H132-'OPEB Amounts_Report'!M132)</f>
        <v>-537858</v>
      </c>
      <c r="X134" s="129">
        <f>SUM(Q134:U134)-('OPEB Amounts_Report'!H134-'OPEB Amounts_Report'!M134)</f>
        <v>0</v>
      </c>
    </row>
    <row r="135" spans="1:24">
      <c r="A135" s="184">
        <v>3321</v>
      </c>
      <c r="B135" s="185" t="s">
        <v>122</v>
      </c>
      <c r="C135" s="63">
        <f t="shared" si="2"/>
        <v>-105282</v>
      </c>
      <c r="D135" s="63">
        <f t="shared" si="2"/>
        <v>-43623</v>
      </c>
      <c r="E135" s="63">
        <f t="shared" si="2"/>
        <v>-6999</v>
      </c>
      <c r="F135" s="63">
        <f t="shared" si="2"/>
        <v>-57142</v>
      </c>
      <c r="G135" s="63">
        <f t="shared" si="2"/>
        <v>-23423</v>
      </c>
      <c r="I135" s="186"/>
      <c r="K135" s="64">
        <f>ROUND(VLOOKUP($A135,'Contribution Allocation_Report'!$A$9:$D$311,4,FALSE)*$K$326,0)</f>
        <v>-169549</v>
      </c>
      <c r="L135" s="64">
        <f>ROUND(VLOOKUP($A135,'Contribution Allocation_Report'!$A$9:$D$311,4,FALSE)*$L$326,0)</f>
        <v>-123204</v>
      </c>
      <c r="M135" s="64">
        <f>ROUND(VLOOKUP($A135,'Contribution Allocation_Report'!$A$9:$D$311,4,FALSE)*$M$326,0)</f>
        <v>-74349</v>
      </c>
      <c r="N135" s="64">
        <f>ROUND(VLOOKUP($A135,'Contribution Allocation_Report'!$A$9:$D$311,4,FALSE)*$N$326,0)</f>
        <v>-112094</v>
      </c>
      <c r="O135" s="64">
        <f>ROUND(VLOOKUP($A135,'Contribution Allocation_Report'!$A$9:$D$311,4,FALSE)*$O$326,0)</f>
        <v>-63856</v>
      </c>
      <c r="Q135" s="64">
        <f>+K135+VLOOKUP(A135,'Change in Proportion Layers'!$A$8:$N$324,3,FALSE)+VLOOKUP(A135,'Change in Proportion Layers'!$A$8:$Y$324,10,FALSE)+VLOOKUP(A135,'Change in Proportion Layers'!$A$8:$Y$324,16,FALSE)+VLOOKUP(A135,'Change in Proportion Layers'!$A$8:$Y$324,21,FALSE)+VLOOKUP(A135,'Change in Proportion Layers'!$A$8:$Y$324,25,FALSE)</f>
        <v>-105282</v>
      </c>
      <c r="R135" s="64">
        <f>+L135+VLOOKUP(A135,'Change in Proportion Layers'!$A$8:$Y$324,4,FALSE)+VLOOKUP(A135,'Change in Proportion Layers'!$A$8:$Y$324,11,FALSE)+VLOOKUP(A135,'Change in Proportion Layers'!$A$8:$Y$324,17,FALSE)+VLOOKUP(A135,'Change in Proportion Layers'!$A$8:$Y$324,22,FALSE)</f>
        <v>-43623</v>
      </c>
      <c r="S135" s="64">
        <f>+M135+VLOOKUP(A135,'Change in Proportion Layers'!$A$8:$Y$324,5,FALSE)+VLOOKUP(A135,'Change in Proportion Layers'!$A$8:$Y$324,12,FALSE)+VLOOKUP(A135,'Change in Proportion Layers'!$A$8:$Y$324,18,FALSE)</f>
        <v>-6999</v>
      </c>
      <c r="T135" s="64">
        <f>+N135+VLOOKUP(A135,'Change in Proportion Layers'!$A$8:$Y$324,6,FALSE)+VLOOKUP(A135,'Change in Proportion Layers'!$A$8:$Y$324,13,FALSE)</f>
        <v>-57142</v>
      </c>
      <c r="U135" s="64">
        <f>+O135+VLOOKUP(A135,'Change in Proportion Layers'!$A$8:$Y$324,7,FALSE)+1</f>
        <v>-23423</v>
      </c>
      <c r="W135" s="64">
        <f>('OPEB Amounts_Report'!H133-'OPEB Amounts_Report'!M133)</f>
        <v>-216499</v>
      </c>
      <c r="X135" s="129">
        <f>SUM(Q135:U135)-('OPEB Amounts_Report'!H135-'OPEB Amounts_Report'!M135)</f>
        <v>0</v>
      </c>
    </row>
    <row r="136" spans="1:24">
      <c r="A136" s="187">
        <v>29122</v>
      </c>
      <c r="B136" s="188" t="s">
        <v>123</v>
      </c>
      <c r="C136" s="5">
        <f t="shared" si="2"/>
        <v>-265620</v>
      </c>
      <c r="D136" s="5">
        <f t="shared" si="2"/>
        <v>-162765</v>
      </c>
      <c r="E136" s="5">
        <f t="shared" si="2"/>
        <v>-87053</v>
      </c>
      <c r="F136" s="5">
        <f t="shared" si="2"/>
        <v>-174870</v>
      </c>
      <c r="G136" s="5">
        <f t="shared" si="2"/>
        <v>-77248</v>
      </c>
      <c r="I136" s="186"/>
      <c r="K136" s="64">
        <f>ROUND(VLOOKUP($A136,'Contribution Allocation_Report'!$A$9:$D$311,4,FALSE)*$K$326,0)</f>
        <v>-182348</v>
      </c>
      <c r="L136" s="64">
        <f>ROUND(VLOOKUP($A136,'Contribution Allocation_Report'!$A$9:$D$311,4,FALSE)*$L$326,0)</f>
        <v>-132504</v>
      </c>
      <c r="M136" s="64">
        <f>ROUND(VLOOKUP($A136,'Contribution Allocation_Report'!$A$9:$D$311,4,FALSE)*$M$326,0)</f>
        <v>-79962</v>
      </c>
      <c r="N136" s="64">
        <f>ROUND(VLOOKUP($A136,'Contribution Allocation_Report'!$A$9:$D$311,4,FALSE)*$N$326,0)</f>
        <v>-120556</v>
      </c>
      <c r="O136" s="64">
        <f>ROUND(VLOOKUP($A136,'Contribution Allocation_Report'!$A$9:$D$311,4,FALSE)*$O$326,0)</f>
        <v>-68677</v>
      </c>
      <c r="Q136" s="64">
        <f>+K136+VLOOKUP(A136,'Change in Proportion Layers'!$A$8:$N$324,3,FALSE)+VLOOKUP(A136,'Change in Proportion Layers'!$A$8:$Y$324,10,FALSE)+VLOOKUP(A136,'Change in Proportion Layers'!$A$8:$Y$324,16,FALSE)+VLOOKUP(A136,'Change in Proportion Layers'!$A$8:$Y$324,21,FALSE)+VLOOKUP(A136,'Change in Proportion Layers'!$A$8:$Y$324,25,FALSE)</f>
        <v>-265620</v>
      </c>
      <c r="R136" s="64">
        <f>+L136+VLOOKUP(A136,'Change in Proportion Layers'!$A$8:$Y$324,4,FALSE)+VLOOKUP(A136,'Change in Proportion Layers'!$A$8:$Y$324,11,FALSE)+VLOOKUP(A136,'Change in Proportion Layers'!$A$8:$Y$324,17,FALSE)+VLOOKUP(A136,'Change in Proportion Layers'!$A$8:$Y$324,22,FALSE)</f>
        <v>-162765</v>
      </c>
      <c r="S136" s="64">
        <f>+M136+VLOOKUP(A136,'Change in Proportion Layers'!$A$8:$Y$324,5,FALSE)+VLOOKUP(A136,'Change in Proportion Layers'!$A$8:$Y$324,12,FALSE)+VLOOKUP(A136,'Change in Proportion Layers'!$A$8:$Y$324,18,FALSE)</f>
        <v>-87053</v>
      </c>
      <c r="T136" s="64">
        <f>+N136+VLOOKUP(A136,'Change in Proportion Layers'!$A$8:$Y$324,6,FALSE)+VLOOKUP(A136,'Change in Proportion Layers'!$A$8:$Y$324,13,FALSE)</f>
        <v>-174870</v>
      </c>
      <c r="U136" s="64">
        <f>+O136+VLOOKUP(A136,'Change in Proportion Layers'!$A$8:$Y$324,7,FALSE)+1</f>
        <v>-77248</v>
      </c>
      <c r="W136" s="64">
        <f>('OPEB Amounts_Report'!H134-'OPEB Amounts_Report'!M134)</f>
        <v>-948023</v>
      </c>
      <c r="X136" s="129">
        <f>SUM(Q136:U136)-('OPEB Amounts_Report'!H136-'OPEB Amounts_Report'!M136)</f>
        <v>0</v>
      </c>
    </row>
    <row r="137" spans="1:24">
      <c r="A137" s="184">
        <v>29088</v>
      </c>
      <c r="B137" s="185" t="s">
        <v>124</v>
      </c>
      <c r="C137" s="63">
        <f t="shared" si="2"/>
        <v>-294413</v>
      </c>
      <c r="D137" s="63">
        <f t="shared" si="2"/>
        <v>-230555</v>
      </c>
      <c r="E137" s="63">
        <f t="shared" si="2"/>
        <v>-156357</v>
      </c>
      <c r="F137" s="63">
        <f t="shared" si="2"/>
        <v>-163808</v>
      </c>
      <c r="G137" s="63">
        <f t="shared" si="2"/>
        <v>-90261</v>
      </c>
      <c r="I137" s="186"/>
      <c r="K137" s="64">
        <f>ROUND(VLOOKUP($A137,'Contribution Allocation_Report'!$A$9:$D$311,4,FALSE)*$K$326,0)</f>
        <v>-255518</v>
      </c>
      <c r="L137" s="64">
        <f>ROUND(VLOOKUP($A137,'Contribution Allocation_Report'!$A$9:$D$311,4,FALSE)*$L$326,0)</f>
        <v>-185674</v>
      </c>
      <c r="M137" s="64">
        <f>ROUND(VLOOKUP($A137,'Contribution Allocation_Report'!$A$9:$D$311,4,FALSE)*$M$326,0)</f>
        <v>-112048</v>
      </c>
      <c r="N137" s="64">
        <f>ROUND(VLOOKUP($A137,'Contribution Allocation_Report'!$A$9:$D$311,4,FALSE)*$N$326,0)</f>
        <v>-168931</v>
      </c>
      <c r="O137" s="64">
        <f>ROUND(VLOOKUP($A137,'Contribution Allocation_Report'!$A$9:$D$311,4,FALSE)*$O$326,0)</f>
        <v>-96235</v>
      </c>
      <c r="Q137" s="64">
        <f>+K137+VLOOKUP(A137,'Change in Proportion Layers'!$A$8:$N$324,3,FALSE)+VLOOKUP(A137,'Change in Proportion Layers'!$A$8:$Y$324,10,FALSE)+VLOOKUP(A137,'Change in Proportion Layers'!$A$8:$Y$324,16,FALSE)+VLOOKUP(A137,'Change in Proportion Layers'!$A$8:$Y$324,21,FALSE)+VLOOKUP(A137,'Change in Proportion Layers'!$A$8:$Y$324,25,FALSE)</f>
        <v>-294413</v>
      </c>
      <c r="R137" s="64">
        <f>+L137+VLOOKUP(A137,'Change in Proportion Layers'!$A$8:$Y$324,4,FALSE)+VLOOKUP(A137,'Change in Proportion Layers'!$A$8:$Y$324,11,FALSE)+VLOOKUP(A137,'Change in Proportion Layers'!$A$8:$Y$324,17,FALSE)+VLOOKUP(A137,'Change in Proportion Layers'!$A$8:$Y$324,22,FALSE)</f>
        <v>-230555</v>
      </c>
      <c r="S137" s="64">
        <f>+M137+VLOOKUP(A137,'Change in Proportion Layers'!$A$8:$Y$324,5,FALSE)+VLOOKUP(A137,'Change in Proportion Layers'!$A$8:$Y$324,12,FALSE)+VLOOKUP(A137,'Change in Proportion Layers'!$A$8:$Y$324,18,FALSE)</f>
        <v>-156357</v>
      </c>
      <c r="T137" s="64">
        <f>+N137+VLOOKUP(A137,'Change in Proportion Layers'!$A$8:$Y$324,6,FALSE)+VLOOKUP(A137,'Change in Proportion Layers'!$A$8:$Y$324,13,FALSE)</f>
        <v>-163808</v>
      </c>
      <c r="U137" s="64">
        <f>+O137+VLOOKUP(A137,'Change in Proportion Layers'!$A$8:$Y$324,7,FALSE)+1</f>
        <v>-90261</v>
      </c>
      <c r="W137" s="64">
        <f>('OPEB Amounts_Report'!H135-'OPEB Amounts_Report'!M135)</f>
        <v>-236469</v>
      </c>
      <c r="X137" s="129">
        <f>SUM(Q137:U137)-('OPEB Amounts_Report'!H137-'OPEB Amounts_Report'!M137)</f>
        <v>0</v>
      </c>
    </row>
    <row r="138" spans="1:24">
      <c r="A138" s="187">
        <v>7337</v>
      </c>
      <c r="B138" s="188" t="s">
        <v>125</v>
      </c>
      <c r="C138" s="5">
        <f t="shared" si="2"/>
        <v>-130813</v>
      </c>
      <c r="D138" s="5">
        <f t="shared" si="2"/>
        <v>-98460</v>
      </c>
      <c r="E138" s="5">
        <f t="shared" si="2"/>
        <v>-63012</v>
      </c>
      <c r="F138" s="5">
        <f t="shared" si="2"/>
        <v>-56711</v>
      </c>
      <c r="G138" s="5">
        <f t="shared" si="2"/>
        <v>-19166</v>
      </c>
      <c r="I138" s="186"/>
      <c r="K138" s="64">
        <f>ROUND(VLOOKUP($A138,'Contribution Allocation_Report'!$A$9:$D$311,4,FALSE)*$K$326,0)</f>
        <v>-69771</v>
      </c>
      <c r="L138" s="64">
        <f>ROUND(VLOOKUP($A138,'Contribution Allocation_Report'!$A$9:$D$311,4,FALSE)*$L$326,0)</f>
        <v>-50699</v>
      </c>
      <c r="M138" s="64">
        <f>ROUND(VLOOKUP($A138,'Contribution Allocation_Report'!$A$9:$D$311,4,FALSE)*$M$326,0)</f>
        <v>-30595</v>
      </c>
      <c r="N138" s="64">
        <f>ROUND(VLOOKUP($A138,'Contribution Allocation_Report'!$A$9:$D$311,4,FALSE)*$N$326,0)</f>
        <v>-46128</v>
      </c>
      <c r="O138" s="64">
        <f>ROUND(VLOOKUP($A138,'Contribution Allocation_Report'!$A$9:$D$311,4,FALSE)*$O$326,0)</f>
        <v>-26278</v>
      </c>
      <c r="Q138" s="64">
        <f>+K138+VLOOKUP(A138,'Change in Proportion Layers'!$A$8:$N$324,3,FALSE)+VLOOKUP(A138,'Change in Proportion Layers'!$A$8:$Y$324,10,FALSE)+VLOOKUP(A138,'Change in Proportion Layers'!$A$8:$Y$324,16,FALSE)+VLOOKUP(A138,'Change in Proportion Layers'!$A$8:$Y$324,21,FALSE)+VLOOKUP(A138,'Change in Proportion Layers'!$A$8:$Y$324,25,FALSE)</f>
        <v>-130813</v>
      </c>
      <c r="R138" s="64">
        <f>+L138+VLOOKUP(A138,'Change in Proportion Layers'!$A$8:$Y$324,4,FALSE)+VLOOKUP(A138,'Change in Proportion Layers'!$A$8:$Y$324,11,FALSE)+VLOOKUP(A138,'Change in Proportion Layers'!$A$8:$Y$324,17,FALSE)+VLOOKUP(A138,'Change in Proportion Layers'!$A$8:$Y$324,22,FALSE)</f>
        <v>-98460</v>
      </c>
      <c r="S138" s="64">
        <f>+M138+VLOOKUP(A138,'Change in Proportion Layers'!$A$8:$Y$324,5,FALSE)+VLOOKUP(A138,'Change in Proportion Layers'!$A$8:$Y$324,12,FALSE)+VLOOKUP(A138,'Change in Proportion Layers'!$A$8:$Y$324,18,FALSE)</f>
        <v>-63012</v>
      </c>
      <c r="T138" s="64">
        <f>+N138+VLOOKUP(A138,'Change in Proportion Layers'!$A$8:$Y$324,6,FALSE)+VLOOKUP(A138,'Change in Proportion Layers'!$A$8:$Y$324,13,FALSE)</f>
        <v>-56711</v>
      </c>
      <c r="U138" s="64">
        <f>+O138+VLOOKUP(A138,'Change in Proportion Layers'!$A$8:$Y$324,7,FALSE)-1</f>
        <v>-19166</v>
      </c>
      <c r="W138" s="64">
        <f>('OPEB Amounts_Report'!H136-'OPEB Amounts_Report'!M136)</f>
        <v>-767556</v>
      </c>
      <c r="X138" s="129">
        <f>SUM(Q138:U138)-('OPEB Amounts_Report'!H138-'OPEB Amounts_Report'!M138)</f>
        <v>0</v>
      </c>
    </row>
    <row r="139" spans="1:24">
      <c r="A139" s="184">
        <v>2329</v>
      </c>
      <c r="B139" s="185" t="s">
        <v>126</v>
      </c>
      <c r="C139" s="63">
        <f t="shared" si="2"/>
        <v>-303569</v>
      </c>
      <c r="D139" s="63">
        <f t="shared" si="2"/>
        <v>-258724</v>
      </c>
      <c r="E139" s="63">
        <f t="shared" si="2"/>
        <v>-192664</v>
      </c>
      <c r="F139" s="63">
        <f t="shared" si="2"/>
        <v>-113440</v>
      </c>
      <c r="G139" s="63">
        <f t="shared" si="2"/>
        <v>-65329</v>
      </c>
      <c r="I139" s="186"/>
      <c r="K139" s="64">
        <f>ROUND(VLOOKUP($A139,'Contribution Allocation_Report'!$A$9:$D$311,4,FALSE)*$K$326,0)</f>
        <v>-217612</v>
      </c>
      <c r="L139" s="64">
        <f>ROUND(VLOOKUP($A139,'Contribution Allocation_Report'!$A$9:$D$311,4,FALSE)*$L$326,0)</f>
        <v>-158129</v>
      </c>
      <c r="M139" s="64">
        <f>ROUND(VLOOKUP($A139,'Contribution Allocation_Report'!$A$9:$D$311,4,FALSE)*$M$326,0)</f>
        <v>-95425</v>
      </c>
      <c r="N139" s="64">
        <f>ROUND(VLOOKUP($A139,'Contribution Allocation_Report'!$A$9:$D$311,4,FALSE)*$N$326,0)</f>
        <v>-143870</v>
      </c>
      <c r="O139" s="64">
        <f>ROUND(VLOOKUP($A139,'Contribution Allocation_Report'!$A$9:$D$311,4,FALSE)*$O$326,0)</f>
        <v>-81958</v>
      </c>
      <c r="Q139" s="64">
        <f>+K139+VLOOKUP(A139,'Change in Proportion Layers'!$A$8:$N$324,3,FALSE)+VLOOKUP(A139,'Change in Proportion Layers'!$A$8:$Y$324,10,FALSE)+VLOOKUP(A139,'Change in Proportion Layers'!$A$8:$Y$324,16,FALSE)+VLOOKUP(A139,'Change in Proportion Layers'!$A$8:$Y$324,21,FALSE)+VLOOKUP(A139,'Change in Proportion Layers'!$A$8:$Y$324,25,FALSE)</f>
        <v>-303569</v>
      </c>
      <c r="R139" s="64">
        <f>+L139+VLOOKUP(A139,'Change in Proportion Layers'!$A$8:$Y$324,4,FALSE)+VLOOKUP(A139,'Change in Proportion Layers'!$A$8:$Y$324,11,FALSE)+VLOOKUP(A139,'Change in Proportion Layers'!$A$8:$Y$324,17,FALSE)+VLOOKUP(A139,'Change in Proportion Layers'!$A$8:$Y$324,22,FALSE)</f>
        <v>-258724</v>
      </c>
      <c r="S139" s="64">
        <f>+M139+VLOOKUP(A139,'Change in Proportion Layers'!$A$8:$Y$324,5,FALSE)+VLOOKUP(A139,'Change in Proportion Layers'!$A$8:$Y$324,12,FALSE)+VLOOKUP(A139,'Change in Proportion Layers'!$A$8:$Y$324,18,FALSE)</f>
        <v>-192664</v>
      </c>
      <c r="T139" s="64">
        <f>+N139+VLOOKUP(A139,'Change in Proportion Layers'!$A$8:$Y$324,6,FALSE)+VLOOKUP(A139,'Change in Proportion Layers'!$A$8:$Y$324,13,FALSE)</f>
        <v>-113440</v>
      </c>
      <c r="U139" s="64">
        <f>+O139+VLOOKUP(A139,'Change in Proportion Layers'!$A$8:$Y$324,7,FALSE)</f>
        <v>-65329</v>
      </c>
      <c r="W139" s="64">
        <f>('OPEB Amounts_Report'!H137-'OPEB Amounts_Report'!M137)</f>
        <v>-935394</v>
      </c>
      <c r="X139" s="129">
        <f>SUM(Q139:U139)-('OPEB Amounts_Report'!H139-'OPEB Amounts_Report'!M139)</f>
        <v>0</v>
      </c>
    </row>
    <row r="140" spans="1:24">
      <c r="A140" s="187">
        <v>17425</v>
      </c>
      <c r="B140" s="188" t="s">
        <v>128</v>
      </c>
      <c r="C140" s="5">
        <f t="shared" si="2"/>
        <v>-79340</v>
      </c>
      <c r="D140" s="5">
        <f t="shared" si="2"/>
        <v>-56811</v>
      </c>
      <c r="E140" s="5">
        <f t="shared" si="2"/>
        <v>-32537</v>
      </c>
      <c r="F140" s="5">
        <f t="shared" si="2"/>
        <v>-32709</v>
      </c>
      <c r="G140" s="5">
        <f t="shared" si="2"/>
        <v>5699</v>
      </c>
      <c r="I140" s="186"/>
      <c r="K140" s="64">
        <f>ROUND(VLOOKUP($A140,'Contribution Allocation_Report'!$A$9:$D$311,4,FALSE)*$K$326,0)</f>
        <v>-41618</v>
      </c>
      <c r="L140" s="64">
        <f>ROUND(VLOOKUP($A140,'Contribution Allocation_Report'!$A$9:$D$311,4,FALSE)*$L$326,0)</f>
        <v>-30242</v>
      </c>
      <c r="M140" s="64">
        <f>ROUND(VLOOKUP($A140,'Contribution Allocation_Report'!$A$9:$D$311,4,FALSE)*$M$326,0)</f>
        <v>-18250</v>
      </c>
      <c r="N140" s="64">
        <f>ROUND(VLOOKUP($A140,'Contribution Allocation_Report'!$A$9:$D$311,4,FALSE)*$N$326,0)</f>
        <v>-27515</v>
      </c>
      <c r="O140" s="64">
        <f>ROUND(VLOOKUP($A140,'Contribution Allocation_Report'!$A$9:$D$311,4,FALSE)*$O$326,0)</f>
        <v>-15674</v>
      </c>
      <c r="Q140" s="64">
        <f>+K140+VLOOKUP(A140,'Change in Proportion Layers'!$A$8:$N$324,3,FALSE)+VLOOKUP(A140,'Change in Proportion Layers'!$A$8:$Y$324,10,FALSE)+VLOOKUP(A140,'Change in Proportion Layers'!$A$8:$Y$324,16,FALSE)+VLOOKUP(A140,'Change in Proportion Layers'!$A$8:$Y$324,21,FALSE)+VLOOKUP(A140,'Change in Proportion Layers'!$A$8:$Y$324,25,FALSE)</f>
        <v>-79340</v>
      </c>
      <c r="R140" s="64">
        <f>+L140+VLOOKUP(A140,'Change in Proportion Layers'!$A$8:$Y$324,4,FALSE)+VLOOKUP(A140,'Change in Proportion Layers'!$A$8:$Y$324,11,FALSE)+VLOOKUP(A140,'Change in Proportion Layers'!$A$8:$Y$324,17,FALSE)+VLOOKUP(A140,'Change in Proportion Layers'!$A$8:$Y$324,22,FALSE)</f>
        <v>-56811</v>
      </c>
      <c r="S140" s="64">
        <f>+M140+VLOOKUP(A140,'Change in Proportion Layers'!$A$8:$Y$324,5,FALSE)+VLOOKUP(A140,'Change in Proportion Layers'!$A$8:$Y$324,12,FALSE)+VLOOKUP(A140,'Change in Proportion Layers'!$A$8:$Y$324,18,FALSE)</f>
        <v>-32537</v>
      </c>
      <c r="T140" s="64">
        <f>+N140+VLOOKUP(A140,'Change in Proportion Layers'!$A$8:$Y$324,6,FALSE)+VLOOKUP(A140,'Change in Proportion Layers'!$A$8:$Y$324,13,FALSE)</f>
        <v>-32709</v>
      </c>
      <c r="U140" s="64">
        <f>+O140+VLOOKUP(A140,'Change in Proportion Layers'!$A$8:$Y$324,7,FALSE)+2</f>
        <v>5699</v>
      </c>
      <c r="W140" s="64">
        <f>('OPEB Amounts_Report'!H139-'OPEB Amounts_Report'!M139)</f>
        <v>-933726</v>
      </c>
      <c r="X140" s="129">
        <f>SUM(Q140:U140)-('OPEB Amounts_Report'!H140-'OPEB Amounts_Report'!M140)</f>
        <v>0</v>
      </c>
    </row>
    <row r="141" spans="1:24">
      <c r="A141" s="184">
        <v>4010</v>
      </c>
      <c r="B141" s="185" t="s">
        <v>129</v>
      </c>
      <c r="C141" s="63">
        <f t="shared" si="2"/>
        <v>-87402</v>
      </c>
      <c r="D141" s="63">
        <f t="shared" si="2"/>
        <v>-51962</v>
      </c>
      <c r="E141" s="63">
        <f t="shared" si="2"/>
        <v>-21996</v>
      </c>
      <c r="F141" s="63">
        <f t="shared" si="2"/>
        <v>-60881</v>
      </c>
      <c r="G141" s="63">
        <f t="shared" si="2"/>
        <v>-31416</v>
      </c>
      <c r="I141" s="186"/>
      <c r="K141" s="64">
        <f>ROUND(VLOOKUP($A141,'Contribution Allocation_Report'!$A$9:$D$311,4,FALSE)*$K$326,0)</f>
        <v>-128844</v>
      </c>
      <c r="L141" s="64">
        <f>ROUND(VLOOKUP($A141,'Contribution Allocation_Report'!$A$9:$D$311,4,FALSE)*$L$326,0)</f>
        <v>-93625</v>
      </c>
      <c r="M141" s="64">
        <f>ROUND(VLOOKUP($A141,'Contribution Allocation_Report'!$A$9:$D$311,4,FALSE)*$M$326,0)</f>
        <v>-56500</v>
      </c>
      <c r="N141" s="64">
        <f>ROUND(VLOOKUP($A141,'Contribution Allocation_Report'!$A$9:$D$311,4,FALSE)*$N$326,0)</f>
        <v>-85183</v>
      </c>
      <c r="O141" s="64">
        <f>ROUND(VLOOKUP($A141,'Contribution Allocation_Report'!$A$9:$D$311,4,FALSE)*$O$326,0)</f>
        <v>-48526</v>
      </c>
      <c r="Q141" s="64">
        <f>+K141+VLOOKUP(A141,'Change in Proportion Layers'!$A$8:$N$324,3,FALSE)+VLOOKUP(A141,'Change in Proportion Layers'!$A$8:$Y$324,10,FALSE)+VLOOKUP(A141,'Change in Proportion Layers'!$A$8:$Y$324,16,FALSE)+VLOOKUP(A141,'Change in Proportion Layers'!$A$8:$Y$324,21,FALSE)+VLOOKUP(A141,'Change in Proportion Layers'!$A$8:$Y$324,25,FALSE)</f>
        <v>-87402</v>
      </c>
      <c r="R141" s="64">
        <f>+L141+VLOOKUP(A141,'Change in Proportion Layers'!$A$8:$Y$324,4,FALSE)+VLOOKUP(A141,'Change in Proportion Layers'!$A$8:$Y$324,11,FALSE)+VLOOKUP(A141,'Change in Proportion Layers'!$A$8:$Y$324,17,FALSE)+VLOOKUP(A141,'Change in Proportion Layers'!$A$8:$Y$324,22,FALSE)</f>
        <v>-51962</v>
      </c>
      <c r="S141" s="64">
        <f>+M141+VLOOKUP(A141,'Change in Proportion Layers'!$A$8:$Y$324,5,FALSE)+VLOOKUP(A141,'Change in Proportion Layers'!$A$8:$Y$324,12,FALSE)+VLOOKUP(A141,'Change in Proportion Layers'!$A$8:$Y$324,18,FALSE)</f>
        <v>-21996</v>
      </c>
      <c r="T141" s="64">
        <f>+N141+VLOOKUP(A141,'Change in Proportion Layers'!$A$8:$Y$324,6,FALSE)+VLOOKUP(A141,'Change in Proportion Layers'!$A$8:$Y$324,13,FALSE)</f>
        <v>-60881</v>
      </c>
      <c r="U141" s="64">
        <f>+O141+VLOOKUP(A141,'Change in Proportion Layers'!$A$8:$Y$324,7,FALSE)+1</f>
        <v>-31416</v>
      </c>
      <c r="W141" s="64">
        <f>('OPEB Amounts_Report'!H140-'OPEB Amounts_Report'!M140)</f>
        <v>-195698</v>
      </c>
      <c r="X141" s="129">
        <f>SUM(Q141:U141)-('OPEB Amounts_Report'!H141-'OPEB Amounts_Report'!M141)</f>
        <v>0</v>
      </c>
    </row>
    <row r="142" spans="1:24">
      <c r="A142" s="187">
        <v>7023</v>
      </c>
      <c r="B142" s="188" t="s">
        <v>130</v>
      </c>
      <c r="C142" s="5">
        <f t="shared" si="2"/>
        <v>-13421761</v>
      </c>
      <c r="D142" s="5">
        <f t="shared" si="2"/>
        <v>-9586334</v>
      </c>
      <c r="E142" s="5">
        <f t="shared" si="2"/>
        <v>-5413090</v>
      </c>
      <c r="F142" s="5">
        <f t="shared" si="2"/>
        <v>-8961622</v>
      </c>
      <c r="G142" s="5">
        <f t="shared" si="2"/>
        <v>-5132334</v>
      </c>
      <c r="I142" s="186"/>
      <c r="K142" s="64">
        <f>ROUND(VLOOKUP($A142,'Contribution Allocation_Report'!$A$9:$D$311,4,FALSE)*$K$326,0)</f>
        <v>-15157108</v>
      </c>
      <c r="L142" s="64">
        <f>ROUND(VLOOKUP($A142,'Contribution Allocation_Report'!$A$9:$D$311,4,FALSE)*$L$326,0)</f>
        <v>-11014008</v>
      </c>
      <c r="M142" s="64">
        <f>ROUND(VLOOKUP($A142,'Contribution Allocation_Report'!$A$9:$D$311,4,FALSE)*$M$326,0)</f>
        <v>-6646571</v>
      </c>
      <c r="N142" s="64">
        <f>ROUND(VLOOKUP($A142,'Contribution Allocation_Report'!$A$9:$D$311,4,FALSE)*$N$326,0)</f>
        <v>-10020838</v>
      </c>
      <c r="O142" s="64">
        <f>ROUND(VLOOKUP($A142,'Contribution Allocation_Report'!$A$9:$D$311,4,FALSE)*$O$326,0)</f>
        <v>-5708564</v>
      </c>
      <c r="Q142" s="64">
        <f>+K142+VLOOKUP(A142,'Change in Proportion Layers'!$A$8:$N$324,3,FALSE)+VLOOKUP(A142,'Change in Proportion Layers'!$A$8:$Y$324,10,FALSE)+VLOOKUP(A142,'Change in Proportion Layers'!$A$8:$Y$324,16,FALSE)+VLOOKUP(A142,'Change in Proportion Layers'!$A$8:$Y$324,21,FALSE)+VLOOKUP(A142,'Change in Proportion Layers'!$A$8:$Y$324,25,FALSE)</f>
        <v>-13421761</v>
      </c>
      <c r="R142" s="64">
        <f>+L142+VLOOKUP(A142,'Change in Proportion Layers'!$A$8:$Y$324,4,FALSE)+VLOOKUP(A142,'Change in Proportion Layers'!$A$8:$Y$324,11,FALSE)+VLOOKUP(A142,'Change in Proportion Layers'!$A$8:$Y$324,17,FALSE)+VLOOKUP(A142,'Change in Proportion Layers'!$A$8:$Y$324,22,FALSE)</f>
        <v>-9586334</v>
      </c>
      <c r="S142" s="64">
        <f>+M142+VLOOKUP(A142,'Change in Proportion Layers'!$A$8:$Y$324,5,FALSE)+VLOOKUP(A142,'Change in Proportion Layers'!$A$8:$Y$324,12,FALSE)+VLOOKUP(A142,'Change in Proportion Layers'!$A$8:$Y$324,18,FALSE)</f>
        <v>-5413090</v>
      </c>
      <c r="T142" s="64">
        <f>+N142+VLOOKUP(A142,'Change in Proportion Layers'!$A$8:$Y$324,6,FALSE)+VLOOKUP(A142,'Change in Proportion Layers'!$A$8:$Y$324,13,FALSE)</f>
        <v>-8961622</v>
      </c>
      <c r="U142" s="64">
        <f>+O142+VLOOKUP(A142,'Change in Proportion Layers'!$A$8:$Y$324,7,FALSE)+2</f>
        <v>-5132334</v>
      </c>
      <c r="W142" s="64">
        <f>('OPEB Amounts_Report'!H141-'OPEB Amounts_Report'!M141)</f>
        <v>-253657</v>
      </c>
      <c r="X142" s="129">
        <f>SUM(Q142:U142)-('OPEB Amounts_Report'!H142-'OPEB Amounts_Report'!M142)</f>
        <v>0</v>
      </c>
    </row>
    <row r="143" spans="1:24">
      <c r="A143" s="184">
        <v>7338</v>
      </c>
      <c r="B143" s="185" t="s">
        <v>131</v>
      </c>
      <c r="C143" s="63">
        <f t="shared" si="2"/>
        <v>-69897</v>
      </c>
      <c r="D143" s="63">
        <f t="shared" si="2"/>
        <v>-68921</v>
      </c>
      <c r="E143" s="63">
        <f t="shared" si="2"/>
        <v>-51639</v>
      </c>
      <c r="F143" s="63">
        <f t="shared" si="2"/>
        <v>-81795</v>
      </c>
      <c r="G143" s="63">
        <f t="shared" si="2"/>
        <v>-52650</v>
      </c>
      <c r="I143" s="186"/>
      <c r="K143" s="64">
        <f>ROUND(VLOOKUP($A143,'Contribution Allocation_Report'!$A$9:$D$311,4,FALSE)*$K$326,0)</f>
        <v>-133473</v>
      </c>
      <c r="L143" s="64">
        <f>ROUND(VLOOKUP($A143,'Contribution Allocation_Report'!$A$9:$D$311,4,FALSE)*$L$326,0)</f>
        <v>-96989</v>
      </c>
      <c r="M143" s="64">
        <f>ROUND(VLOOKUP($A143,'Contribution Allocation_Report'!$A$9:$D$311,4,FALSE)*$M$326,0)</f>
        <v>-58529</v>
      </c>
      <c r="N143" s="64">
        <f>ROUND(VLOOKUP($A143,'Contribution Allocation_Report'!$A$9:$D$311,4,FALSE)*$N$326,0)</f>
        <v>-88243</v>
      </c>
      <c r="O143" s="64">
        <f>ROUND(VLOOKUP($A143,'Contribution Allocation_Report'!$A$9:$D$311,4,FALSE)*$O$326,0)</f>
        <v>-50269</v>
      </c>
      <c r="Q143" s="64">
        <f>+K143+VLOOKUP(A143,'Change in Proportion Layers'!$A$8:$N$324,3,FALSE)+VLOOKUP(A143,'Change in Proportion Layers'!$A$8:$Y$324,10,FALSE)+VLOOKUP(A143,'Change in Proportion Layers'!$A$8:$Y$324,16,FALSE)+VLOOKUP(A143,'Change in Proportion Layers'!$A$8:$Y$324,21,FALSE)+VLOOKUP(A143,'Change in Proportion Layers'!$A$8:$Y$324,25,FALSE)</f>
        <v>-69897</v>
      </c>
      <c r="R143" s="64">
        <f>+L143+VLOOKUP(A143,'Change in Proportion Layers'!$A$8:$Y$324,4,FALSE)+VLOOKUP(A143,'Change in Proportion Layers'!$A$8:$Y$324,11,FALSE)+VLOOKUP(A143,'Change in Proportion Layers'!$A$8:$Y$324,17,FALSE)+VLOOKUP(A143,'Change in Proportion Layers'!$A$8:$Y$324,22,FALSE)</f>
        <v>-68921</v>
      </c>
      <c r="S143" s="64">
        <f>+M143+VLOOKUP(A143,'Change in Proportion Layers'!$A$8:$Y$324,5,FALSE)+VLOOKUP(A143,'Change in Proportion Layers'!$A$8:$Y$324,12,FALSE)+VLOOKUP(A143,'Change in Proportion Layers'!$A$8:$Y$324,18,FALSE)</f>
        <v>-51639</v>
      </c>
      <c r="T143" s="64">
        <f>+N143+VLOOKUP(A143,'Change in Proportion Layers'!$A$8:$Y$324,6,FALSE)+VLOOKUP(A143,'Change in Proportion Layers'!$A$8:$Y$324,13,FALSE)</f>
        <v>-81795</v>
      </c>
      <c r="U143" s="64">
        <f>+O143+VLOOKUP(A143,'Change in Proportion Layers'!$A$8:$Y$324,7,FALSE)</f>
        <v>-52650</v>
      </c>
      <c r="W143" s="64">
        <f>('OPEB Amounts_Report'!H142-'OPEB Amounts_Report'!M142)</f>
        <v>-42515141</v>
      </c>
      <c r="X143" s="129">
        <f>SUM(Q143:U143)-('OPEB Amounts_Report'!H143-'OPEB Amounts_Report'!M143)</f>
        <v>0</v>
      </c>
    </row>
    <row r="144" spans="1:24">
      <c r="A144" s="187">
        <v>12037</v>
      </c>
      <c r="B144" s="188" t="s">
        <v>132</v>
      </c>
      <c r="C144" s="5">
        <f t="shared" si="2"/>
        <v>-895536</v>
      </c>
      <c r="D144" s="5">
        <f t="shared" si="2"/>
        <v>-837701</v>
      </c>
      <c r="E144" s="5">
        <f t="shared" si="2"/>
        <v>-436729</v>
      </c>
      <c r="F144" s="5">
        <f t="shared" si="2"/>
        <v>-659528</v>
      </c>
      <c r="G144" s="5">
        <f t="shared" si="2"/>
        <v>-380645</v>
      </c>
      <c r="I144" s="186"/>
      <c r="K144" s="64">
        <f>ROUND(VLOOKUP($A144,'Contribution Allocation_Report'!$A$9:$D$311,4,FALSE)*$K$326,0)</f>
        <v>-916252</v>
      </c>
      <c r="L144" s="64">
        <f>ROUND(VLOOKUP($A144,'Contribution Allocation_Report'!$A$9:$D$311,4,FALSE)*$L$326,0)</f>
        <v>-665800</v>
      </c>
      <c r="M144" s="64">
        <f>ROUND(VLOOKUP($A144,'Contribution Allocation_Report'!$A$9:$D$311,4,FALSE)*$M$326,0)</f>
        <v>-401787</v>
      </c>
      <c r="N144" s="64">
        <f>ROUND(VLOOKUP($A144,'Contribution Allocation_Report'!$A$9:$D$311,4,FALSE)*$N$326,0)</f>
        <v>-605763</v>
      </c>
      <c r="O144" s="64">
        <f>ROUND(VLOOKUP($A144,'Contribution Allocation_Report'!$A$9:$D$311,4,FALSE)*$O$326,0)</f>
        <v>-345085</v>
      </c>
      <c r="Q144" s="64">
        <f>+K144+VLOOKUP(A144,'Change in Proportion Layers'!$A$8:$N$324,3,FALSE)+VLOOKUP(A144,'Change in Proportion Layers'!$A$8:$Y$324,10,FALSE)+VLOOKUP(A144,'Change in Proportion Layers'!$A$8:$Y$324,16,FALSE)+VLOOKUP(A144,'Change in Proportion Layers'!$A$8:$Y$324,21,FALSE)+VLOOKUP(A144,'Change in Proportion Layers'!$A$8:$Y$324,25,FALSE)</f>
        <v>-895536</v>
      </c>
      <c r="R144" s="64">
        <f>+L144+VLOOKUP(A144,'Change in Proportion Layers'!$A$8:$Y$324,4,FALSE)+VLOOKUP(A144,'Change in Proportion Layers'!$A$8:$Y$324,11,FALSE)+VLOOKUP(A144,'Change in Proportion Layers'!$A$8:$Y$324,17,FALSE)+VLOOKUP(A144,'Change in Proportion Layers'!$A$8:$Y$324,22,FALSE)</f>
        <v>-837701</v>
      </c>
      <c r="S144" s="64">
        <f>+M144+VLOOKUP(A144,'Change in Proportion Layers'!$A$8:$Y$324,5,FALSE)+VLOOKUP(A144,'Change in Proportion Layers'!$A$8:$Y$324,12,FALSE)+VLOOKUP(A144,'Change in Proportion Layers'!$A$8:$Y$324,18,FALSE)</f>
        <v>-436729</v>
      </c>
      <c r="T144" s="64">
        <f>+N144+VLOOKUP(A144,'Change in Proportion Layers'!$A$8:$Y$324,6,FALSE)+VLOOKUP(A144,'Change in Proportion Layers'!$A$8:$Y$324,13,FALSE)</f>
        <v>-659528</v>
      </c>
      <c r="U144" s="64">
        <f>+O144+VLOOKUP(A144,'Change in Proportion Layers'!$A$8:$Y$324,7,FALSE)</f>
        <v>-380645</v>
      </c>
      <c r="W144" s="64">
        <f>('OPEB Amounts_Report'!H143-'OPEB Amounts_Report'!M143)</f>
        <v>-324902</v>
      </c>
      <c r="X144" s="129">
        <f>SUM(Q144:U144)-('OPEB Amounts_Report'!H144-'OPEB Amounts_Report'!M144)</f>
        <v>0</v>
      </c>
    </row>
    <row r="145" spans="1:24">
      <c r="A145" s="184">
        <v>3150</v>
      </c>
      <c r="B145" s="185" t="s">
        <v>133</v>
      </c>
      <c r="C145" s="63">
        <f t="shared" si="2"/>
        <v>-1375919</v>
      </c>
      <c r="D145" s="63">
        <f t="shared" si="2"/>
        <v>-1036126</v>
      </c>
      <c r="E145" s="63">
        <f t="shared" si="2"/>
        <v>-766562</v>
      </c>
      <c r="F145" s="63">
        <f t="shared" si="2"/>
        <v>-1003020</v>
      </c>
      <c r="G145" s="63">
        <f t="shared" si="2"/>
        <v>-420062</v>
      </c>
      <c r="I145" s="186"/>
      <c r="K145" s="64">
        <f>ROUND(VLOOKUP($A145,'Contribution Allocation_Report'!$A$9:$D$311,4,FALSE)*$K$326,0)</f>
        <v>-1963500</v>
      </c>
      <c r="L145" s="64">
        <f>ROUND(VLOOKUP($A145,'Contribution Allocation_Report'!$A$9:$D$311,4,FALSE)*$L$326,0)</f>
        <v>-1426790</v>
      </c>
      <c r="M145" s="64">
        <f>ROUND(VLOOKUP($A145,'Contribution Allocation_Report'!$A$9:$D$311,4,FALSE)*$M$326,0)</f>
        <v>-861018</v>
      </c>
      <c r="N145" s="64">
        <f>ROUND(VLOOKUP($A145,'Contribution Allocation_Report'!$A$9:$D$311,4,FALSE)*$N$326,0)</f>
        <v>-1298131</v>
      </c>
      <c r="O145" s="64">
        <f>ROUND(VLOOKUP($A145,'Contribution Allocation_Report'!$A$9:$D$311,4,FALSE)*$O$326,0)</f>
        <v>-739506</v>
      </c>
      <c r="Q145" s="64">
        <f>+K145+VLOOKUP(A145,'Change in Proportion Layers'!$A$8:$N$324,3,FALSE)+VLOOKUP(A145,'Change in Proportion Layers'!$A$8:$Y$324,10,FALSE)+VLOOKUP(A145,'Change in Proportion Layers'!$A$8:$Y$324,16,FALSE)+VLOOKUP(A145,'Change in Proportion Layers'!$A$8:$Y$324,21,FALSE)+VLOOKUP(A145,'Change in Proportion Layers'!$A$8:$Y$324,25,FALSE)</f>
        <v>-1375919</v>
      </c>
      <c r="R145" s="64">
        <f>+L145+VLOOKUP(A145,'Change in Proportion Layers'!$A$8:$Y$324,4,FALSE)+VLOOKUP(A145,'Change in Proportion Layers'!$A$8:$Y$324,11,FALSE)+VLOOKUP(A145,'Change in Proportion Layers'!$A$8:$Y$324,17,FALSE)+VLOOKUP(A145,'Change in Proportion Layers'!$A$8:$Y$324,22,FALSE)</f>
        <v>-1036126</v>
      </c>
      <c r="S145" s="64">
        <f>+M145+VLOOKUP(A145,'Change in Proportion Layers'!$A$8:$Y$324,5,FALSE)+VLOOKUP(A145,'Change in Proportion Layers'!$A$8:$Y$324,12,FALSE)+VLOOKUP(A145,'Change in Proportion Layers'!$A$8:$Y$324,18,FALSE)</f>
        <v>-766562</v>
      </c>
      <c r="T145" s="64">
        <f>+N145+VLOOKUP(A145,'Change in Proportion Layers'!$A$8:$Y$324,6,FALSE)+VLOOKUP(A145,'Change in Proportion Layers'!$A$8:$Y$324,13,FALSE)</f>
        <v>-1003020</v>
      </c>
      <c r="U145" s="64">
        <f>+O145+VLOOKUP(A145,'Change in Proportion Layers'!$A$8:$Y$324,7,FALSE)</f>
        <v>-420062</v>
      </c>
      <c r="W145" s="64">
        <f>('OPEB Amounts_Report'!H144-'OPEB Amounts_Report'!M144)</f>
        <v>-3210139</v>
      </c>
      <c r="X145" s="129">
        <f>SUM(Q145:U145)-('OPEB Amounts_Report'!H145-'OPEB Amounts_Report'!M145)</f>
        <v>0</v>
      </c>
    </row>
    <row r="146" spans="1:24">
      <c r="A146" s="187">
        <v>3160</v>
      </c>
      <c r="B146" s="188" t="s">
        <v>134</v>
      </c>
      <c r="C146" s="5">
        <f t="shared" si="2"/>
        <v>-477680</v>
      </c>
      <c r="D146" s="5">
        <f t="shared" si="2"/>
        <v>-365120</v>
      </c>
      <c r="E146" s="5">
        <f t="shared" si="2"/>
        <v>-252389</v>
      </c>
      <c r="F146" s="5">
        <f t="shared" si="2"/>
        <v>-280331</v>
      </c>
      <c r="G146" s="5">
        <f t="shared" si="2"/>
        <v>-146821</v>
      </c>
      <c r="I146" s="186"/>
      <c r="K146" s="64">
        <f>ROUND(VLOOKUP($A146,'Contribution Allocation_Report'!$A$9:$D$311,4,FALSE)*$K$326,0)</f>
        <v>-459454</v>
      </c>
      <c r="L146" s="64">
        <f>ROUND(VLOOKUP($A146,'Contribution Allocation_Report'!$A$9:$D$311,4,FALSE)*$L$326,0)</f>
        <v>-333865</v>
      </c>
      <c r="M146" s="64">
        <f>ROUND(VLOOKUP($A146,'Contribution Allocation_Report'!$A$9:$D$311,4,FALSE)*$M$326,0)</f>
        <v>-201476</v>
      </c>
      <c r="N146" s="64">
        <f>ROUND(VLOOKUP($A146,'Contribution Allocation_Report'!$A$9:$D$311,4,FALSE)*$N$326,0)</f>
        <v>-303760</v>
      </c>
      <c r="O146" s="64">
        <f>ROUND(VLOOKUP($A146,'Contribution Allocation_Report'!$A$9:$D$311,4,FALSE)*$O$326,0)</f>
        <v>-173043</v>
      </c>
      <c r="Q146" s="64">
        <f>+K146+VLOOKUP(A146,'Change in Proportion Layers'!$A$8:$N$324,3,FALSE)+VLOOKUP(A146,'Change in Proportion Layers'!$A$8:$Y$324,10,FALSE)+VLOOKUP(A146,'Change in Proportion Layers'!$A$8:$Y$324,16,FALSE)+VLOOKUP(A146,'Change in Proportion Layers'!$A$8:$Y$324,21,FALSE)+VLOOKUP(A146,'Change in Proportion Layers'!$A$8:$Y$324,25,FALSE)</f>
        <v>-477680</v>
      </c>
      <c r="R146" s="64">
        <f>+L146+VLOOKUP(A146,'Change in Proportion Layers'!$A$8:$Y$324,4,FALSE)+VLOOKUP(A146,'Change in Proportion Layers'!$A$8:$Y$324,11,FALSE)+VLOOKUP(A146,'Change in Proportion Layers'!$A$8:$Y$324,17,FALSE)+VLOOKUP(A146,'Change in Proportion Layers'!$A$8:$Y$324,22,FALSE)</f>
        <v>-365120</v>
      </c>
      <c r="S146" s="64">
        <f>+M146+VLOOKUP(A146,'Change in Proportion Layers'!$A$8:$Y$324,5,FALSE)+VLOOKUP(A146,'Change in Proportion Layers'!$A$8:$Y$324,12,FALSE)+VLOOKUP(A146,'Change in Proportion Layers'!$A$8:$Y$324,18,FALSE)</f>
        <v>-252389</v>
      </c>
      <c r="T146" s="64">
        <f>+N146+VLOOKUP(A146,'Change in Proportion Layers'!$A$8:$Y$324,6,FALSE)+VLOOKUP(A146,'Change in Proportion Layers'!$A$8:$Y$324,13,FALSE)</f>
        <v>-280331</v>
      </c>
      <c r="U146" s="64">
        <f>+O146+VLOOKUP(A146,'Change in Proportion Layers'!$A$8:$Y$324,7,FALSE)</f>
        <v>-146821</v>
      </c>
      <c r="W146" s="64">
        <f>('OPEB Amounts_Report'!H145-'OPEB Amounts_Report'!M145)</f>
        <v>-4601689</v>
      </c>
      <c r="X146" s="129">
        <f>SUM(Q146:U146)-('OPEB Amounts_Report'!H146-'OPEB Amounts_Report'!M146)</f>
        <v>0</v>
      </c>
    </row>
    <row r="147" spans="1:24">
      <c r="A147" s="184">
        <v>10120</v>
      </c>
      <c r="B147" s="185" t="s">
        <v>136</v>
      </c>
      <c r="C147" s="63">
        <f t="shared" si="2"/>
        <v>-230392</v>
      </c>
      <c r="D147" s="63">
        <f t="shared" si="2"/>
        <v>-172132</v>
      </c>
      <c r="E147" s="63">
        <f t="shared" si="2"/>
        <v>-95324</v>
      </c>
      <c r="F147" s="63">
        <f t="shared" si="2"/>
        <v>-135103</v>
      </c>
      <c r="G147" s="63">
        <f t="shared" si="2"/>
        <v>-72728</v>
      </c>
      <c r="I147" s="186"/>
      <c r="K147" s="64">
        <f>ROUND(VLOOKUP($A147,'Contribution Allocation_Report'!$A$9:$D$311,4,FALSE)*$K$326,0)</f>
        <v>-227020</v>
      </c>
      <c r="L147" s="64">
        <f>ROUND(VLOOKUP($A147,'Contribution Allocation_Report'!$A$9:$D$311,4,FALSE)*$L$326,0)</f>
        <v>-164966</v>
      </c>
      <c r="M147" s="64">
        <f>ROUND(VLOOKUP($A147,'Contribution Allocation_Report'!$A$9:$D$311,4,FALSE)*$M$326,0)</f>
        <v>-99551</v>
      </c>
      <c r="N147" s="64">
        <f>ROUND(VLOOKUP($A147,'Contribution Allocation_Report'!$A$9:$D$311,4,FALSE)*$N$326,0)</f>
        <v>-150090</v>
      </c>
      <c r="O147" s="64">
        <f>ROUND(VLOOKUP($A147,'Contribution Allocation_Report'!$A$9:$D$311,4,FALSE)*$O$326,0)</f>
        <v>-85502</v>
      </c>
      <c r="Q147" s="64">
        <f>+K147+VLOOKUP(A147,'Change in Proportion Layers'!$A$8:$N$324,3,FALSE)+VLOOKUP(A147,'Change in Proportion Layers'!$A$8:$Y$324,10,FALSE)+VLOOKUP(A147,'Change in Proportion Layers'!$A$8:$Y$324,16,FALSE)+VLOOKUP(A147,'Change in Proportion Layers'!$A$8:$Y$324,21,FALSE)+VLOOKUP(A147,'Change in Proportion Layers'!$A$8:$Y$324,25,FALSE)</f>
        <v>-230392</v>
      </c>
      <c r="R147" s="64">
        <f>+L147+VLOOKUP(A147,'Change in Proportion Layers'!$A$8:$Y$324,4,FALSE)+VLOOKUP(A147,'Change in Proportion Layers'!$A$8:$Y$324,11,FALSE)+VLOOKUP(A147,'Change in Proportion Layers'!$A$8:$Y$324,17,FALSE)+VLOOKUP(A147,'Change in Proportion Layers'!$A$8:$Y$324,22,FALSE)</f>
        <v>-172132</v>
      </c>
      <c r="S147" s="64">
        <f>+M147+VLOOKUP(A147,'Change in Proportion Layers'!$A$8:$Y$324,5,FALSE)+VLOOKUP(A147,'Change in Proportion Layers'!$A$8:$Y$324,12,FALSE)+VLOOKUP(A147,'Change in Proportion Layers'!$A$8:$Y$324,18,FALSE)</f>
        <v>-95324</v>
      </c>
      <c r="T147" s="64">
        <f>+N147+VLOOKUP(A147,'Change in Proportion Layers'!$A$8:$Y$324,6,FALSE)+VLOOKUP(A147,'Change in Proportion Layers'!$A$8:$Y$324,13,FALSE)</f>
        <v>-135103</v>
      </c>
      <c r="U147" s="64">
        <f>+O147+VLOOKUP(A147,'Change in Proportion Layers'!$A$8:$Y$324,7,FALSE)-1</f>
        <v>-72728</v>
      </c>
      <c r="W147" s="64">
        <f>('OPEB Amounts_Report'!H146-'OPEB Amounts_Report'!M146)</f>
        <v>-1522341</v>
      </c>
      <c r="X147" s="129">
        <f>SUM(Q147:U147)-('OPEB Amounts_Report'!H147-'OPEB Amounts_Report'!M147)</f>
        <v>0</v>
      </c>
    </row>
    <row r="148" spans="1:24">
      <c r="A148" s="187">
        <v>23070</v>
      </c>
      <c r="B148" s="188" t="s">
        <v>137</v>
      </c>
      <c r="C148" s="5">
        <f t="shared" si="2"/>
        <v>-305957</v>
      </c>
      <c r="D148" s="5">
        <f t="shared" si="2"/>
        <v>-225700</v>
      </c>
      <c r="E148" s="5">
        <f t="shared" si="2"/>
        <v>-142334</v>
      </c>
      <c r="F148" s="5">
        <f t="shared" si="2"/>
        <v>-244205</v>
      </c>
      <c r="G148" s="5">
        <f t="shared" si="2"/>
        <v>-136993</v>
      </c>
      <c r="I148" s="186"/>
      <c r="K148" s="64">
        <f>ROUND(VLOOKUP($A148,'Contribution Allocation_Report'!$A$9:$D$311,4,FALSE)*$K$326,0)</f>
        <v>-366388</v>
      </c>
      <c r="L148" s="64">
        <f>ROUND(VLOOKUP($A148,'Contribution Allocation_Report'!$A$9:$D$311,4,FALSE)*$L$326,0)</f>
        <v>-266238</v>
      </c>
      <c r="M148" s="64">
        <f>ROUND(VLOOKUP($A148,'Contribution Allocation_Report'!$A$9:$D$311,4,FALSE)*$M$326,0)</f>
        <v>-160665</v>
      </c>
      <c r="N148" s="64">
        <f>ROUND(VLOOKUP($A148,'Contribution Allocation_Report'!$A$9:$D$311,4,FALSE)*$N$326,0)</f>
        <v>-242231</v>
      </c>
      <c r="O148" s="64">
        <f>ROUND(VLOOKUP($A148,'Contribution Allocation_Report'!$A$9:$D$311,4,FALSE)*$O$326,0)</f>
        <v>-137991</v>
      </c>
      <c r="Q148" s="64">
        <f>+K148+VLOOKUP(A148,'Change in Proportion Layers'!$A$8:$N$324,3,FALSE)+VLOOKUP(A148,'Change in Proportion Layers'!$A$8:$Y$324,10,FALSE)+VLOOKUP(A148,'Change in Proportion Layers'!$A$8:$Y$324,16,FALSE)+VLOOKUP(A148,'Change in Proportion Layers'!$A$8:$Y$324,21,FALSE)+VLOOKUP(A148,'Change in Proportion Layers'!$A$8:$Y$324,25,FALSE)</f>
        <v>-305957</v>
      </c>
      <c r="R148" s="64">
        <f>+L148+VLOOKUP(A148,'Change in Proportion Layers'!$A$8:$Y$324,4,FALSE)+VLOOKUP(A148,'Change in Proportion Layers'!$A$8:$Y$324,11,FALSE)+VLOOKUP(A148,'Change in Proportion Layers'!$A$8:$Y$324,17,FALSE)+VLOOKUP(A148,'Change in Proportion Layers'!$A$8:$Y$324,22,FALSE)</f>
        <v>-225700</v>
      </c>
      <c r="S148" s="64">
        <f>+M148+VLOOKUP(A148,'Change in Proportion Layers'!$A$8:$Y$324,5,FALSE)+VLOOKUP(A148,'Change in Proportion Layers'!$A$8:$Y$324,12,FALSE)+VLOOKUP(A148,'Change in Proportion Layers'!$A$8:$Y$324,18,FALSE)</f>
        <v>-142334</v>
      </c>
      <c r="T148" s="64">
        <f>+N148+VLOOKUP(A148,'Change in Proportion Layers'!$A$8:$Y$324,6,FALSE)+VLOOKUP(A148,'Change in Proportion Layers'!$A$8:$Y$324,13,FALSE)</f>
        <v>-244205</v>
      </c>
      <c r="U148" s="64">
        <f>+O148+VLOOKUP(A148,'Change in Proportion Layers'!$A$8:$Y$324,7,FALSE)-1</f>
        <v>-136993</v>
      </c>
      <c r="W148" s="64">
        <f>('OPEB Amounts_Report'!H147-'OPEB Amounts_Report'!M147)</f>
        <v>-705679</v>
      </c>
      <c r="X148" s="129">
        <f>SUM(Q148:U148)-('OPEB Amounts_Report'!H148-'OPEB Amounts_Report'!M148)</f>
        <v>0</v>
      </c>
    </row>
    <row r="149" spans="1:24">
      <c r="A149" s="189">
        <v>3170</v>
      </c>
      <c r="B149" s="190" t="s">
        <v>138</v>
      </c>
      <c r="C149" s="191">
        <f t="shared" si="2"/>
        <v>-5072903</v>
      </c>
      <c r="D149" s="191">
        <f t="shared" si="2"/>
        <v>-3901520</v>
      </c>
      <c r="E149" s="191">
        <f t="shared" si="2"/>
        <v>-2260154</v>
      </c>
      <c r="F149" s="191">
        <f t="shared" si="2"/>
        <v>-2734555</v>
      </c>
      <c r="G149" s="191">
        <f t="shared" si="2"/>
        <v>-1787391</v>
      </c>
      <c r="I149" s="186"/>
      <c r="K149" s="64">
        <f>ROUND(VLOOKUP($A149,'Contribution Allocation_Report'!$A$9:$D$311,4,FALSE)*$K$326,0)</f>
        <v>-4278176</v>
      </c>
      <c r="L149" s="64">
        <f>ROUND(VLOOKUP($A149,'Contribution Allocation_Report'!$A$9:$D$311,4,FALSE)*$L$326,0)</f>
        <v>-3108763</v>
      </c>
      <c r="M149" s="64">
        <f>ROUND(VLOOKUP($A149,'Contribution Allocation_Report'!$A$9:$D$311,4,FALSE)*$M$326,0)</f>
        <v>-1876031</v>
      </c>
      <c r="N149" s="64">
        <f>ROUND(VLOOKUP($A149,'Contribution Allocation_Report'!$A$9:$D$311,4,FALSE)*$N$326,0)</f>
        <v>-2828436</v>
      </c>
      <c r="O149" s="64">
        <f>ROUND(VLOOKUP($A149,'Contribution Allocation_Report'!$A$9:$D$311,4,FALSE)*$O$326,0)</f>
        <v>-1611273</v>
      </c>
      <c r="Q149" s="64">
        <f>+K149+VLOOKUP(A149,'Change in Proportion Layers'!$A$8:$N$324,3,FALSE)+VLOOKUP(A149,'Change in Proportion Layers'!$A$8:$Y$324,10,FALSE)+VLOOKUP(A149,'Change in Proportion Layers'!$A$8:$Y$324,16,FALSE)+VLOOKUP(A149,'Change in Proportion Layers'!$A$8:$Y$324,21,FALSE)+VLOOKUP(A149,'Change in Proportion Layers'!$A$8:$Y$324,25,FALSE)</f>
        <v>-5072903</v>
      </c>
      <c r="R149" s="64">
        <f>+L149+VLOOKUP(A149,'Change in Proportion Layers'!$A$8:$Y$324,4,FALSE)+VLOOKUP(A149,'Change in Proportion Layers'!$A$8:$Y$324,11,FALSE)+VLOOKUP(A149,'Change in Proportion Layers'!$A$8:$Y$324,17,FALSE)+VLOOKUP(A149,'Change in Proportion Layers'!$A$8:$Y$324,22,FALSE)</f>
        <v>-3901520</v>
      </c>
      <c r="S149" s="64">
        <f>+M149+VLOOKUP(A149,'Change in Proportion Layers'!$A$8:$Y$324,5,FALSE)+VLOOKUP(A149,'Change in Proportion Layers'!$A$8:$Y$324,12,FALSE)+VLOOKUP(A149,'Change in Proportion Layers'!$A$8:$Y$324,18,FALSE)</f>
        <v>-2260154</v>
      </c>
      <c r="T149" s="64">
        <f>+N149+VLOOKUP(A149,'Change in Proportion Layers'!$A$8:$Y$324,6,FALSE)+VLOOKUP(A149,'Change in Proportion Layers'!$A$8:$Y$324,13,FALSE)</f>
        <v>-2734555</v>
      </c>
      <c r="U149" s="64">
        <f>+O149+VLOOKUP(A149,'Change in Proportion Layers'!$A$8:$Y$324,7,FALSE)</f>
        <v>-1787391</v>
      </c>
      <c r="W149" s="64">
        <f>('OPEB Amounts_Report'!H148-'OPEB Amounts_Report'!M148)</f>
        <v>-1055189</v>
      </c>
      <c r="X149" s="129">
        <f>SUM(Q149:U149)-('OPEB Amounts_Report'!H149-'OPEB Amounts_Report'!M149)</f>
        <v>0</v>
      </c>
    </row>
    <row r="150" spans="1:24">
      <c r="A150" s="189">
        <v>32093</v>
      </c>
      <c r="B150" s="190" t="s">
        <v>139</v>
      </c>
      <c r="C150" s="6">
        <f t="shared" si="2"/>
        <v>-2419445</v>
      </c>
      <c r="D150" s="6">
        <f t="shared" si="2"/>
        <v>-1800561</v>
      </c>
      <c r="E150" s="6">
        <f t="shared" si="2"/>
        <v>-1153095</v>
      </c>
      <c r="F150" s="6">
        <f t="shared" si="2"/>
        <v>-1804538</v>
      </c>
      <c r="G150" s="6">
        <f t="shared" si="2"/>
        <v>-1094874</v>
      </c>
      <c r="I150" s="186"/>
      <c r="K150" s="64">
        <f>ROUND(VLOOKUP($A150,'Contribution Allocation_Report'!$A$9:$D$311,4,FALSE)*$K$326,0)</f>
        <v>-2799889</v>
      </c>
      <c r="L150" s="64">
        <f>ROUND(VLOOKUP($A150,'Contribution Allocation_Report'!$A$9:$D$311,4,FALSE)*$L$326,0)</f>
        <v>-2034557</v>
      </c>
      <c r="M150" s="64">
        <f>ROUND(VLOOKUP($A150,'Contribution Allocation_Report'!$A$9:$D$311,4,FALSE)*$M$326,0)</f>
        <v>-1227784</v>
      </c>
      <c r="N150" s="64">
        <f>ROUND(VLOOKUP($A150,'Contribution Allocation_Report'!$A$9:$D$311,4,FALSE)*$N$326,0)</f>
        <v>-1851094</v>
      </c>
      <c r="O150" s="64">
        <f>ROUND(VLOOKUP($A150,'Contribution Allocation_Report'!$A$9:$D$311,4,FALSE)*$O$326,0)</f>
        <v>-1054512</v>
      </c>
      <c r="Q150" s="64">
        <f>+K150+VLOOKUP(A150,'Change in Proportion Layers'!$A$8:$N$324,3,FALSE)+VLOOKUP(A150,'Change in Proportion Layers'!$A$8:$Y$324,10,FALSE)+VLOOKUP(A150,'Change in Proportion Layers'!$A$8:$Y$324,16,FALSE)+VLOOKUP(A150,'Change in Proportion Layers'!$A$8:$Y$324,21,FALSE)+VLOOKUP(A150,'Change in Proportion Layers'!$A$8:$Y$324,25,FALSE)</f>
        <v>-2419445</v>
      </c>
      <c r="R150" s="64">
        <f>+L150+VLOOKUP(A150,'Change in Proportion Layers'!$A$8:$Y$324,4,FALSE)+VLOOKUP(A150,'Change in Proportion Layers'!$A$8:$Y$324,11,FALSE)+VLOOKUP(A150,'Change in Proportion Layers'!$A$8:$Y$324,17,FALSE)+VLOOKUP(A150,'Change in Proportion Layers'!$A$8:$Y$324,22,FALSE)</f>
        <v>-1800561</v>
      </c>
      <c r="S150" s="64">
        <f>+M150+VLOOKUP(A150,'Change in Proportion Layers'!$A$8:$Y$324,5,FALSE)+VLOOKUP(A150,'Change in Proportion Layers'!$A$8:$Y$324,12,FALSE)+VLOOKUP(A150,'Change in Proportion Layers'!$A$8:$Y$324,18,FALSE)</f>
        <v>-1153095</v>
      </c>
      <c r="T150" s="64">
        <f>+N150+VLOOKUP(A150,'Change in Proportion Layers'!$A$8:$Y$324,6,FALSE)+VLOOKUP(A150,'Change in Proportion Layers'!$A$8:$Y$324,13,FALSE)</f>
        <v>-1804538</v>
      </c>
      <c r="U150" s="64">
        <f>+O150+VLOOKUP(A150,'Change in Proportion Layers'!$A$8:$Y$324,7,FALSE)</f>
        <v>-1094874</v>
      </c>
      <c r="W150" s="64">
        <f>('OPEB Amounts_Report'!H149-'OPEB Amounts_Report'!M149)</f>
        <v>-15756523</v>
      </c>
      <c r="X150" s="129">
        <f>SUM(Q150:U150)-('OPEB Amounts_Report'!H150-'OPEB Amounts_Report'!M150)</f>
        <v>0</v>
      </c>
    </row>
    <row r="151" spans="1:24">
      <c r="A151" s="187">
        <v>14045</v>
      </c>
      <c r="B151" s="188" t="s">
        <v>140</v>
      </c>
      <c r="C151" s="5">
        <f t="shared" si="2"/>
        <v>-4190800</v>
      </c>
      <c r="D151" s="5">
        <f t="shared" si="2"/>
        <v>-3114265</v>
      </c>
      <c r="E151" s="5">
        <f t="shared" si="2"/>
        <v>-1923641</v>
      </c>
      <c r="F151" s="5">
        <f t="shared" si="2"/>
        <v>-3233552</v>
      </c>
      <c r="G151" s="5">
        <f t="shared" si="2"/>
        <v>-1856211</v>
      </c>
      <c r="I151" s="186"/>
      <c r="K151" s="64">
        <f>ROUND(VLOOKUP($A151,'Contribution Allocation_Report'!$A$9:$D$311,4,FALSE)*$K$326,0)</f>
        <v>-4867786</v>
      </c>
      <c r="L151" s="64">
        <f>ROUND(VLOOKUP($A151,'Contribution Allocation_Report'!$A$9:$D$311,4,FALSE)*$L$326,0)</f>
        <v>-3537207</v>
      </c>
      <c r="M151" s="64">
        <f>ROUND(VLOOKUP($A151,'Contribution Allocation_Report'!$A$9:$D$311,4,FALSE)*$M$326,0)</f>
        <v>-2134582</v>
      </c>
      <c r="N151" s="64">
        <f>ROUND(VLOOKUP($A151,'Contribution Allocation_Report'!$A$9:$D$311,4,FALSE)*$N$326,0)</f>
        <v>-3218246</v>
      </c>
      <c r="O151" s="64">
        <f>ROUND(VLOOKUP($A151,'Contribution Allocation_Report'!$A$9:$D$311,4,FALSE)*$O$326,0)</f>
        <v>-1833336</v>
      </c>
      <c r="Q151" s="64">
        <f>+K151+VLOOKUP(A151,'Change in Proportion Layers'!$A$8:$N$324,3,FALSE)+VLOOKUP(A151,'Change in Proportion Layers'!$A$8:$Y$324,10,FALSE)+VLOOKUP(A151,'Change in Proportion Layers'!$A$8:$Y$324,16,FALSE)+VLOOKUP(A151,'Change in Proportion Layers'!$A$8:$Y$324,21,FALSE)+VLOOKUP(A151,'Change in Proportion Layers'!$A$8:$Y$324,25,FALSE)</f>
        <v>-4190800</v>
      </c>
      <c r="R151" s="64">
        <f>+L151+VLOOKUP(A151,'Change in Proportion Layers'!$A$8:$Y$324,4,FALSE)+VLOOKUP(A151,'Change in Proportion Layers'!$A$8:$Y$324,11,FALSE)+VLOOKUP(A151,'Change in Proportion Layers'!$A$8:$Y$324,17,FALSE)+VLOOKUP(A151,'Change in Proportion Layers'!$A$8:$Y$324,22,FALSE)</f>
        <v>-3114265</v>
      </c>
      <c r="S151" s="64">
        <f>+M151+VLOOKUP(A151,'Change in Proportion Layers'!$A$8:$Y$324,5,FALSE)+VLOOKUP(A151,'Change in Proportion Layers'!$A$8:$Y$324,12,FALSE)+VLOOKUP(A151,'Change in Proportion Layers'!$A$8:$Y$324,18,FALSE)</f>
        <v>-1923641</v>
      </c>
      <c r="T151" s="64">
        <f>+N151+VLOOKUP(A151,'Change in Proportion Layers'!$A$8:$Y$324,6,FALSE)+VLOOKUP(A151,'Change in Proportion Layers'!$A$8:$Y$324,13,FALSE)</f>
        <v>-3233552</v>
      </c>
      <c r="U151" s="64">
        <f>+O151+VLOOKUP(A151,'Change in Proportion Layers'!$A$8:$Y$324,7,FALSE)</f>
        <v>-1856211</v>
      </c>
      <c r="W151" s="64">
        <f>('OPEB Amounts_Report'!H150-'OPEB Amounts_Report'!M150)</f>
        <v>-8272513</v>
      </c>
      <c r="X151" s="129">
        <f>SUM(Q151:U151)-('OPEB Amounts_Report'!H151-'OPEB Amounts_Report'!M151)</f>
        <v>0</v>
      </c>
    </row>
    <row r="152" spans="1:24">
      <c r="A152" s="184">
        <v>2322</v>
      </c>
      <c r="B152" s="185" t="s">
        <v>141</v>
      </c>
      <c r="C152" s="63">
        <f t="shared" si="2"/>
        <v>-133878</v>
      </c>
      <c r="D152" s="63">
        <f t="shared" si="2"/>
        <v>-94982</v>
      </c>
      <c r="E152" s="63">
        <f t="shared" si="2"/>
        <v>-64674</v>
      </c>
      <c r="F152" s="63">
        <f t="shared" si="2"/>
        <v>-63820</v>
      </c>
      <c r="G152" s="63">
        <f t="shared" si="2"/>
        <v>-23076</v>
      </c>
      <c r="I152" s="186"/>
      <c r="K152" s="64">
        <f>ROUND(VLOOKUP($A152,'Contribution Allocation_Report'!$A$9:$D$311,4,FALSE)*$K$326,0)</f>
        <v>-130220</v>
      </c>
      <c r="L152" s="64">
        <f>ROUND(VLOOKUP($A152,'Contribution Allocation_Report'!$A$9:$D$311,4,FALSE)*$L$326,0)</f>
        <v>-94625</v>
      </c>
      <c r="M152" s="64">
        <f>ROUND(VLOOKUP($A152,'Contribution Allocation_Report'!$A$9:$D$311,4,FALSE)*$M$326,0)</f>
        <v>-57103</v>
      </c>
      <c r="N152" s="64">
        <f>ROUND(VLOOKUP($A152,'Contribution Allocation_Report'!$A$9:$D$311,4,FALSE)*$N$326,0)</f>
        <v>-86093</v>
      </c>
      <c r="O152" s="64">
        <f>ROUND(VLOOKUP($A152,'Contribution Allocation_Report'!$A$9:$D$311,4,FALSE)*$O$326,0)</f>
        <v>-49044</v>
      </c>
      <c r="Q152" s="64">
        <f>+K152+VLOOKUP(A152,'Change in Proportion Layers'!$A$8:$N$324,3,FALSE)+VLOOKUP(A152,'Change in Proportion Layers'!$A$8:$Y$324,10,FALSE)+VLOOKUP(A152,'Change in Proportion Layers'!$A$8:$Y$324,16,FALSE)+VLOOKUP(A152,'Change in Proportion Layers'!$A$8:$Y$324,21,FALSE)+VLOOKUP(A152,'Change in Proportion Layers'!$A$8:$Y$324,25,FALSE)</f>
        <v>-133878</v>
      </c>
      <c r="R152" s="64">
        <f>+L152+VLOOKUP(A152,'Change in Proportion Layers'!$A$8:$Y$324,4,FALSE)+VLOOKUP(A152,'Change in Proportion Layers'!$A$8:$Y$324,11,FALSE)+VLOOKUP(A152,'Change in Proportion Layers'!$A$8:$Y$324,17,FALSE)+VLOOKUP(A152,'Change in Proportion Layers'!$A$8:$Y$324,22,FALSE)</f>
        <v>-94982</v>
      </c>
      <c r="S152" s="64">
        <f>+M152+VLOOKUP(A152,'Change in Proportion Layers'!$A$8:$Y$324,5,FALSE)+VLOOKUP(A152,'Change in Proportion Layers'!$A$8:$Y$324,12,FALSE)+VLOOKUP(A152,'Change in Proportion Layers'!$A$8:$Y$324,18,FALSE)</f>
        <v>-64674</v>
      </c>
      <c r="T152" s="64">
        <f>+N152+VLOOKUP(A152,'Change in Proportion Layers'!$A$8:$Y$324,6,FALSE)+VLOOKUP(A152,'Change in Proportion Layers'!$A$8:$Y$324,13,FALSE)</f>
        <v>-63820</v>
      </c>
      <c r="U152" s="64">
        <f>+O152+VLOOKUP(A152,'Change in Proportion Layers'!$A$8:$Y$324,7,FALSE)-1</f>
        <v>-23076</v>
      </c>
      <c r="W152" s="64">
        <f>('OPEB Amounts_Report'!H151-'OPEB Amounts_Report'!M151)</f>
        <v>-14318469</v>
      </c>
      <c r="X152" s="129">
        <f>SUM(Q152:U152)-('OPEB Amounts_Report'!H152-'OPEB Amounts_Report'!M152)</f>
        <v>0</v>
      </c>
    </row>
    <row r="153" spans="1:24">
      <c r="A153" s="187">
        <v>3006</v>
      </c>
      <c r="B153" s="188" t="s">
        <v>142</v>
      </c>
      <c r="C153" s="5">
        <f t="shared" si="2"/>
        <v>-368351</v>
      </c>
      <c r="D153" s="5">
        <f t="shared" si="2"/>
        <v>-189911</v>
      </c>
      <c r="E153" s="5">
        <f t="shared" si="2"/>
        <v>-50767</v>
      </c>
      <c r="F153" s="5">
        <f t="shared" si="2"/>
        <v>-219445</v>
      </c>
      <c r="G153" s="5">
        <f t="shared" si="2"/>
        <v>-184569</v>
      </c>
      <c r="I153" s="186"/>
      <c r="K153" s="64">
        <f>ROUND(VLOOKUP($A153,'Contribution Allocation_Report'!$A$9:$D$311,4,FALSE)*$K$326,0)</f>
        <v>-395606</v>
      </c>
      <c r="L153" s="64">
        <f>ROUND(VLOOKUP($A153,'Contribution Allocation_Report'!$A$9:$D$311,4,FALSE)*$L$326,0)</f>
        <v>-287469</v>
      </c>
      <c r="M153" s="64">
        <f>ROUND(VLOOKUP($A153,'Contribution Allocation_Report'!$A$9:$D$311,4,FALSE)*$M$326,0)</f>
        <v>-173478</v>
      </c>
      <c r="N153" s="64">
        <f>ROUND(VLOOKUP($A153,'Contribution Allocation_Report'!$A$9:$D$311,4,FALSE)*$N$326,0)</f>
        <v>-261547</v>
      </c>
      <c r="O153" s="64">
        <f>ROUND(VLOOKUP($A153,'Contribution Allocation_Report'!$A$9:$D$311,4,FALSE)*$O$326,0)</f>
        <v>-148995</v>
      </c>
      <c r="Q153" s="64">
        <f>+K153+VLOOKUP(A153,'Change in Proportion Layers'!$A$8:$N$324,3,FALSE)+VLOOKUP(A153,'Change in Proportion Layers'!$A$8:$Y$324,10,FALSE)+VLOOKUP(A153,'Change in Proportion Layers'!$A$8:$Y$324,16,FALSE)+VLOOKUP(A153,'Change in Proportion Layers'!$A$8:$Y$324,21,FALSE)+VLOOKUP(A153,'Change in Proportion Layers'!$A$8:$Y$324,25,FALSE)</f>
        <v>-368351</v>
      </c>
      <c r="R153" s="64">
        <f>+L153+VLOOKUP(A153,'Change in Proportion Layers'!$A$8:$Y$324,4,FALSE)+VLOOKUP(A153,'Change in Proportion Layers'!$A$8:$Y$324,11,FALSE)+VLOOKUP(A153,'Change in Proportion Layers'!$A$8:$Y$324,17,FALSE)+VLOOKUP(A153,'Change in Proportion Layers'!$A$8:$Y$324,22,FALSE)</f>
        <v>-189911</v>
      </c>
      <c r="S153" s="64">
        <f>+M153+VLOOKUP(A153,'Change in Proportion Layers'!$A$8:$Y$324,5,FALSE)+VLOOKUP(A153,'Change in Proportion Layers'!$A$8:$Y$324,12,FALSE)+VLOOKUP(A153,'Change in Proportion Layers'!$A$8:$Y$324,18,FALSE)</f>
        <v>-50767</v>
      </c>
      <c r="T153" s="64">
        <f>+N153+VLOOKUP(A153,'Change in Proportion Layers'!$A$8:$Y$324,6,FALSE)+VLOOKUP(A153,'Change in Proportion Layers'!$A$8:$Y$324,13,FALSE)</f>
        <v>-219445</v>
      </c>
      <c r="U153" s="64">
        <f>+O153+VLOOKUP(A153,'Change in Proportion Layers'!$A$8:$Y$324,7,FALSE)-1</f>
        <v>-184569</v>
      </c>
      <c r="W153" s="64">
        <f>('OPEB Amounts_Report'!H152-'OPEB Amounts_Report'!M152)</f>
        <v>-380430</v>
      </c>
      <c r="X153" s="129">
        <f>SUM(Q153:U153)-('OPEB Amounts_Report'!H153-'OPEB Amounts_Report'!M153)</f>
        <v>0</v>
      </c>
    </row>
    <row r="154" spans="1:24">
      <c r="A154" s="184">
        <v>6019</v>
      </c>
      <c r="B154" s="185" t="s">
        <v>143</v>
      </c>
      <c r="C154" s="63">
        <f t="shared" si="2"/>
        <v>-1943090</v>
      </c>
      <c r="D154" s="63">
        <f t="shared" si="2"/>
        <v>-1355827</v>
      </c>
      <c r="E154" s="63">
        <f t="shared" si="2"/>
        <v>-802312</v>
      </c>
      <c r="F154" s="63">
        <f t="shared" si="2"/>
        <v>-1410367</v>
      </c>
      <c r="G154" s="63">
        <f t="shared" si="2"/>
        <v>-941843</v>
      </c>
      <c r="I154" s="186"/>
      <c r="K154" s="64">
        <f>ROUND(VLOOKUP($A154,'Contribution Allocation_Report'!$A$9:$D$311,4,FALSE)*$K$326,0)</f>
        <v>-2045795</v>
      </c>
      <c r="L154" s="64">
        <f>ROUND(VLOOKUP($A154,'Contribution Allocation_Report'!$A$9:$D$311,4,FALSE)*$L$326,0)</f>
        <v>-1486590</v>
      </c>
      <c r="M154" s="64">
        <f>ROUND(VLOOKUP($A154,'Contribution Allocation_Report'!$A$9:$D$311,4,FALSE)*$M$326,0)</f>
        <v>-897105</v>
      </c>
      <c r="N154" s="64">
        <f>ROUND(VLOOKUP($A154,'Contribution Allocation_Report'!$A$9:$D$311,4,FALSE)*$N$326,0)</f>
        <v>-1352539</v>
      </c>
      <c r="O154" s="64">
        <f>ROUND(VLOOKUP($A154,'Contribution Allocation_Report'!$A$9:$D$311,4,FALSE)*$O$326,0)</f>
        <v>-770500</v>
      </c>
      <c r="Q154" s="64">
        <f>+K154+VLOOKUP(A154,'Change in Proportion Layers'!$A$8:$N$324,3,FALSE)+VLOOKUP(A154,'Change in Proportion Layers'!$A$8:$Y$324,10,FALSE)+VLOOKUP(A154,'Change in Proportion Layers'!$A$8:$Y$324,16,FALSE)+VLOOKUP(A154,'Change in Proportion Layers'!$A$8:$Y$324,21,FALSE)+VLOOKUP(A154,'Change in Proportion Layers'!$A$8:$Y$324,25,FALSE)</f>
        <v>-1943090</v>
      </c>
      <c r="R154" s="64">
        <f>+L154+VLOOKUP(A154,'Change in Proportion Layers'!$A$8:$Y$324,4,FALSE)+VLOOKUP(A154,'Change in Proportion Layers'!$A$8:$Y$324,11,FALSE)+VLOOKUP(A154,'Change in Proportion Layers'!$A$8:$Y$324,17,FALSE)+VLOOKUP(A154,'Change in Proportion Layers'!$A$8:$Y$324,22,FALSE)</f>
        <v>-1355827</v>
      </c>
      <c r="S154" s="64">
        <f>+M154+VLOOKUP(A154,'Change in Proportion Layers'!$A$8:$Y$324,5,FALSE)+VLOOKUP(A154,'Change in Proportion Layers'!$A$8:$Y$324,12,FALSE)+VLOOKUP(A154,'Change in Proportion Layers'!$A$8:$Y$324,18,FALSE)</f>
        <v>-802312</v>
      </c>
      <c r="T154" s="64">
        <f>+N154+VLOOKUP(A154,'Change in Proportion Layers'!$A$8:$Y$324,6,FALSE)+VLOOKUP(A154,'Change in Proportion Layers'!$A$8:$Y$324,13,FALSE)</f>
        <v>-1410367</v>
      </c>
      <c r="U154" s="64">
        <f>+O154+VLOOKUP(A154,'Change in Proportion Layers'!$A$8:$Y$324,7,FALSE)+1</f>
        <v>-941843</v>
      </c>
      <c r="W154" s="64">
        <f>('OPEB Amounts_Report'!H153-'OPEB Amounts_Report'!M153)</f>
        <v>-1013043</v>
      </c>
      <c r="X154" s="129">
        <f>SUM(Q154:U154)-('OPEB Amounts_Report'!H154-'OPEB Amounts_Report'!M154)</f>
        <v>0</v>
      </c>
    </row>
    <row r="155" spans="1:24">
      <c r="A155" s="187">
        <v>12128</v>
      </c>
      <c r="B155" s="188" t="s">
        <v>144</v>
      </c>
      <c r="C155" s="5">
        <f t="shared" si="2"/>
        <v>-681163</v>
      </c>
      <c r="D155" s="5">
        <f t="shared" si="2"/>
        <v>-575535</v>
      </c>
      <c r="E155" s="5">
        <f t="shared" si="2"/>
        <v>-491651</v>
      </c>
      <c r="F155" s="5">
        <f t="shared" si="2"/>
        <v>-497356</v>
      </c>
      <c r="G155" s="5">
        <f t="shared" si="2"/>
        <v>-287608</v>
      </c>
      <c r="I155" s="186"/>
      <c r="K155" s="64">
        <f>ROUND(VLOOKUP($A155,'Contribution Allocation_Report'!$A$9:$D$311,4,FALSE)*$K$326,0)</f>
        <v>-470583</v>
      </c>
      <c r="L155" s="64">
        <f>ROUND(VLOOKUP($A155,'Contribution Allocation_Report'!$A$9:$D$311,4,FALSE)*$L$326,0)</f>
        <v>-341952</v>
      </c>
      <c r="M155" s="64">
        <f>ROUND(VLOOKUP($A155,'Contribution Allocation_Report'!$A$9:$D$311,4,FALSE)*$M$326,0)</f>
        <v>-206356</v>
      </c>
      <c r="N155" s="64">
        <f>ROUND(VLOOKUP($A155,'Contribution Allocation_Report'!$A$9:$D$311,4,FALSE)*$N$326,0)</f>
        <v>-311117</v>
      </c>
      <c r="O155" s="64">
        <f>ROUND(VLOOKUP($A155,'Contribution Allocation_Report'!$A$9:$D$311,4,FALSE)*$O$326,0)</f>
        <v>-177234</v>
      </c>
      <c r="Q155" s="64">
        <f>+K155+VLOOKUP(A155,'Change in Proportion Layers'!$A$8:$N$324,3,FALSE)+VLOOKUP(A155,'Change in Proportion Layers'!$A$8:$Y$324,10,FALSE)+VLOOKUP(A155,'Change in Proportion Layers'!$A$8:$Y$324,16,FALSE)+VLOOKUP(A155,'Change in Proportion Layers'!$A$8:$Y$324,21,FALSE)+VLOOKUP(A155,'Change in Proportion Layers'!$A$8:$Y$324,25,FALSE)</f>
        <v>-681163</v>
      </c>
      <c r="R155" s="64">
        <f>+L155+VLOOKUP(A155,'Change in Proportion Layers'!$A$8:$Y$324,4,FALSE)+VLOOKUP(A155,'Change in Proportion Layers'!$A$8:$Y$324,11,FALSE)+VLOOKUP(A155,'Change in Proportion Layers'!$A$8:$Y$324,17,FALSE)+VLOOKUP(A155,'Change in Proportion Layers'!$A$8:$Y$324,22,FALSE)</f>
        <v>-575535</v>
      </c>
      <c r="S155" s="64">
        <f>+M155+VLOOKUP(A155,'Change in Proportion Layers'!$A$8:$Y$324,5,FALSE)+VLOOKUP(A155,'Change in Proportion Layers'!$A$8:$Y$324,12,FALSE)+VLOOKUP(A155,'Change in Proportion Layers'!$A$8:$Y$324,18,FALSE)</f>
        <v>-491651</v>
      </c>
      <c r="T155" s="64">
        <f>+N155+VLOOKUP(A155,'Change in Proportion Layers'!$A$8:$Y$324,6,FALSE)+VLOOKUP(A155,'Change in Proportion Layers'!$A$8:$Y$324,13,FALSE)</f>
        <v>-497356</v>
      </c>
      <c r="U155" s="64">
        <f>+O155+VLOOKUP(A155,'Change in Proportion Layers'!$A$8:$Y$324,7,FALSE)-1</f>
        <v>-287608</v>
      </c>
      <c r="W155" s="64">
        <f>('OPEB Amounts_Report'!H154-'OPEB Amounts_Report'!M154)</f>
        <v>-6453439</v>
      </c>
      <c r="X155" s="129">
        <f>SUM(Q155:U155)-('OPEB Amounts_Report'!H155-'OPEB Amounts_Report'!M155)</f>
        <v>0</v>
      </c>
    </row>
    <row r="156" spans="1:24">
      <c r="A156" s="184">
        <v>3180</v>
      </c>
      <c r="B156" s="185" t="s">
        <v>145</v>
      </c>
      <c r="C156" s="63">
        <f t="shared" si="2"/>
        <v>-978247</v>
      </c>
      <c r="D156" s="63">
        <f t="shared" si="2"/>
        <v>-696775</v>
      </c>
      <c r="E156" s="63">
        <f t="shared" si="2"/>
        <v>-393663</v>
      </c>
      <c r="F156" s="63">
        <f t="shared" si="2"/>
        <v>-565887</v>
      </c>
      <c r="G156" s="63">
        <f t="shared" si="2"/>
        <v>-275445</v>
      </c>
      <c r="I156" s="186"/>
      <c r="K156" s="64">
        <f>ROUND(VLOOKUP($A156,'Contribution Allocation_Report'!$A$9:$D$311,4,FALSE)*$K$326,0)</f>
        <v>-863354</v>
      </c>
      <c r="L156" s="64">
        <f>ROUND(VLOOKUP($A156,'Contribution Allocation_Report'!$A$9:$D$311,4,FALSE)*$L$326,0)</f>
        <v>-627362</v>
      </c>
      <c r="M156" s="64">
        <f>ROUND(VLOOKUP($A156,'Contribution Allocation_Report'!$A$9:$D$311,4,FALSE)*$M$326,0)</f>
        <v>-378591</v>
      </c>
      <c r="N156" s="64">
        <f>ROUND(VLOOKUP($A156,'Contribution Allocation_Report'!$A$9:$D$311,4,FALSE)*$N$326,0)</f>
        <v>-570790</v>
      </c>
      <c r="O156" s="64">
        <f>ROUND(VLOOKUP($A156,'Contribution Allocation_Report'!$A$9:$D$311,4,FALSE)*$O$326,0)</f>
        <v>-325162</v>
      </c>
      <c r="Q156" s="64">
        <f>+K156+VLOOKUP(A156,'Change in Proportion Layers'!$A$8:$N$324,3,FALSE)+VLOOKUP(A156,'Change in Proportion Layers'!$A$8:$Y$324,10,FALSE)+VLOOKUP(A156,'Change in Proportion Layers'!$A$8:$Y$324,16,FALSE)+VLOOKUP(A156,'Change in Proportion Layers'!$A$8:$Y$324,21,FALSE)+VLOOKUP(A156,'Change in Proportion Layers'!$A$8:$Y$324,25,FALSE)</f>
        <v>-978247</v>
      </c>
      <c r="R156" s="64">
        <f>+L156+VLOOKUP(A156,'Change in Proportion Layers'!$A$8:$Y$324,4,FALSE)+VLOOKUP(A156,'Change in Proportion Layers'!$A$8:$Y$324,11,FALSE)+VLOOKUP(A156,'Change in Proportion Layers'!$A$8:$Y$324,17,FALSE)+VLOOKUP(A156,'Change in Proportion Layers'!$A$8:$Y$324,22,FALSE)</f>
        <v>-696775</v>
      </c>
      <c r="S156" s="64">
        <f>+M156+VLOOKUP(A156,'Change in Proportion Layers'!$A$8:$Y$324,5,FALSE)+VLOOKUP(A156,'Change in Proportion Layers'!$A$8:$Y$324,12,FALSE)+VLOOKUP(A156,'Change in Proportion Layers'!$A$8:$Y$324,18,FALSE)</f>
        <v>-393663</v>
      </c>
      <c r="T156" s="64">
        <f>+N156+VLOOKUP(A156,'Change in Proportion Layers'!$A$8:$Y$324,6,FALSE)+VLOOKUP(A156,'Change in Proportion Layers'!$A$8:$Y$324,13,FALSE)</f>
        <v>-565887</v>
      </c>
      <c r="U156" s="64">
        <f>+O156+VLOOKUP(A156,'Change in Proportion Layers'!$A$8:$Y$324,7,FALSE)+1</f>
        <v>-275445</v>
      </c>
      <c r="W156" s="64">
        <f>('OPEB Amounts_Report'!H155-'OPEB Amounts_Report'!M155)</f>
        <v>-2533313</v>
      </c>
      <c r="X156" s="129">
        <f>SUM(Q156:U156)-('OPEB Amounts_Report'!H156-'OPEB Amounts_Report'!M156)</f>
        <v>0</v>
      </c>
    </row>
    <row r="157" spans="1:24">
      <c r="A157" s="187">
        <v>25075</v>
      </c>
      <c r="B157" s="188" t="s">
        <v>146</v>
      </c>
      <c r="C157" s="5">
        <f t="shared" si="2"/>
        <v>-316972</v>
      </c>
      <c r="D157" s="5">
        <f t="shared" si="2"/>
        <v>-174759</v>
      </c>
      <c r="E157" s="5">
        <f t="shared" si="2"/>
        <v>-104713</v>
      </c>
      <c r="F157" s="5">
        <f t="shared" si="2"/>
        <v>-165847</v>
      </c>
      <c r="G157" s="5">
        <f t="shared" si="2"/>
        <v>-90532</v>
      </c>
      <c r="I157" s="186"/>
      <c r="K157" s="64">
        <f>ROUND(VLOOKUP($A157,'Contribution Allocation_Report'!$A$9:$D$311,4,FALSE)*$K$326,0)</f>
        <v>-372535</v>
      </c>
      <c r="L157" s="64">
        <f>ROUND(VLOOKUP($A157,'Contribution Allocation_Report'!$A$9:$D$311,4,FALSE)*$L$326,0)</f>
        <v>-270705</v>
      </c>
      <c r="M157" s="64">
        <f>ROUND(VLOOKUP($A157,'Contribution Allocation_Report'!$A$9:$D$311,4,FALSE)*$M$326,0)</f>
        <v>-163361</v>
      </c>
      <c r="N157" s="64">
        <f>ROUND(VLOOKUP($A157,'Contribution Allocation_Report'!$A$9:$D$311,4,FALSE)*$N$326,0)</f>
        <v>-246295</v>
      </c>
      <c r="O157" s="64">
        <f>ROUND(VLOOKUP($A157,'Contribution Allocation_Report'!$A$9:$D$311,4,FALSE)*$O$326,0)</f>
        <v>-140307</v>
      </c>
      <c r="Q157" s="64">
        <f>+K157+VLOOKUP(A157,'Change in Proportion Layers'!$A$8:$N$324,3,FALSE)+VLOOKUP(A157,'Change in Proportion Layers'!$A$8:$Y$324,10,FALSE)+VLOOKUP(A157,'Change in Proportion Layers'!$A$8:$Y$324,16,FALSE)+VLOOKUP(A157,'Change in Proportion Layers'!$A$8:$Y$324,21,FALSE)+VLOOKUP(A157,'Change in Proportion Layers'!$A$8:$Y$324,25,FALSE)</f>
        <v>-316972</v>
      </c>
      <c r="R157" s="64">
        <f>+L157+VLOOKUP(A157,'Change in Proportion Layers'!$A$8:$Y$324,4,FALSE)+VLOOKUP(A157,'Change in Proportion Layers'!$A$8:$Y$324,11,FALSE)+VLOOKUP(A157,'Change in Proportion Layers'!$A$8:$Y$324,17,FALSE)+VLOOKUP(A157,'Change in Proportion Layers'!$A$8:$Y$324,22,FALSE)</f>
        <v>-174759</v>
      </c>
      <c r="S157" s="64">
        <f>+M157+VLOOKUP(A157,'Change in Proportion Layers'!$A$8:$Y$324,5,FALSE)+VLOOKUP(A157,'Change in Proportion Layers'!$A$8:$Y$324,12,FALSE)+VLOOKUP(A157,'Change in Proportion Layers'!$A$8:$Y$324,18,FALSE)</f>
        <v>-104713</v>
      </c>
      <c r="T157" s="64">
        <f>+N157+VLOOKUP(A157,'Change in Proportion Layers'!$A$8:$Y$324,6,FALSE)+VLOOKUP(A157,'Change in Proportion Layers'!$A$8:$Y$324,13,FALSE)</f>
        <v>-165847</v>
      </c>
      <c r="U157" s="64">
        <f>+O157+VLOOKUP(A157,'Change in Proportion Layers'!$A$8:$Y$324,7,FALSE)+1</f>
        <v>-90532</v>
      </c>
      <c r="W157" s="64">
        <f>('OPEB Amounts_Report'!H156-'OPEB Amounts_Report'!M156)</f>
        <v>-2910017</v>
      </c>
      <c r="X157" s="129">
        <f>SUM(Q157:U157)-('OPEB Amounts_Report'!H157-'OPEB Amounts_Report'!M157)</f>
        <v>0</v>
      </c>
    </row>
    <row r="158" spans="1:24">
      <c r="A158" s="184">
        <v>2311</v>
      </c>
      <c r="B158" s="185" t="s">
        <v>440</v>
      </c>
      <c r="C158" s="63">
        <f>+Q158</f>
        <v>-85241</v>
      </c>
      <c r="D158" s="63">
        <f>+R158</f>
        <v>-64346</v>
      </c>
      <c r="E158" s="63">
        <f>+S158</f>
        <v>-19069</v>
      </c>
      <c r="F158" s="63">
        <f>+T158</f>
        <v>-93700</v>
      </c>
      <c r="G158" s="63">
        <f>+U158</f>
        <v>-31076</v>
      </c>
      <c r="I158" s="186"/>
      <c r="K158" s="64">
        <f>ROUND(VLOOKUP($A158,'Contribution Allocation_Report'!$A$9:$D$311,4,FALSE)*$K$326,0)</f>
        <v>-140638</v>
      </c>
      <c r="L158" s="64">
        <f>ROUND(VLOOKUP($A158,'Contribution Allocation_Report'!$A$9:$D$311,4,FALSE)*$L$326,0)</f>
        <v>-102196</v>
      </c>
      <c r="M158" s="64">
        <f>ROUND(VLOOKUP($A158,'Contribution Allocation_Report'!$A$9:$D$311,4,FALSE)*$M$326,0)</f>
        <v>-61672</v>
      </c>
      <c r="N158" s="64">
        <f>ROUND(VLOOKUP($A158,'Contribution Allocation_Report'!$A$9:$D$311,4,FALSE)*$N$326,0)</f>
        <v>-92980</v>
      </c>
      <c r="O158" s="64">
        <f>ROUND(VLOOKUP($A158,'Contribution Allocation_Report'!$A$9:$D$311,4,FALSE)*$O$326,0)</f>
        <v>-52968</v>
      </c>
      <c r="Q158" s="64">
        <f>+K158+VLOOKUP(A158,'Change in Proportion Layers'!$A$8:$N$324,3,FALSE)+VLOOKUP(A158,'Change in Proportion Layers'!$A$8:$Y$324,10,FALSE)+VLOOKUP(A158,'Change in Proportion Layers'!$A$8:$Y$324,16,FALSE)+VLOOKUP(A158,'Change in Proportion Layers'!$A$8:$Y$324,21,FALSE)+VLOOKUP(A158,'Change in Proportion Layers'!$A$8:$Y$324,25,FALSE)</f>
        <v>-85241</v>
      </c>
      <c r="R158" s="64">
        <f>+L158+VLOOKUP(A158,'Change in Proportion Layers'!$A$8:$Y$324,4,FALSE)+VLOOKUP(A158,'Change in Proportion Layers'!$A$8:$Y$324,11,FALSE)+VLOOKUP(A158,'Change in Proportion Layers'!$A$8:$Y$324,17,FALSE)+VLOOKUP(A158,'Change in Proportion Layers'!$A$8:$Y$324,22,FALSE)</f>
        <v>-64346</v>
      </c>
      <c r="S158" s="64">
        <f>+M158+VLOOKUP(A158,'Change in Proportion Layers'!$A$8:$Y$324,5,FALSE)+VLOOKUP(A158,'Change in Proportion Layers'!$A$8:$Y$324,12,FALSE)+VLOOKUP(A158,'Change in Proportion Layers'!$A$8:$Y$324,18,FALSE)</f>
        <v>-19069</v>
      </c>
      <c r="T158" s="64">
        <f>+N158+VLOOKUP(A158,'Change in Proportion Layers'!$A$8:$Y$324,6,FALSE)+VLOOKUP(A158,'Change in Proportion Layers'!$A$8:$Y$324,13,FALSE)</f>
        <v>-93700</v>
      </c>
      <c r="U158" s="64">
        <f>+O158+VLOOKUP(A158,'Change in Proportion Layers'!$A$8:$Y$324,7,FALSE)</f>
        <v>-31076</v>
      </c>
      <c r="W158" s="64">
        <f>('OPEB Amounts_Report'!H197-'OPEB Amounts_Report'!M197)</f>
        <v>-218275</v>
      </c>
      <c r="X158" s="129">
        <f>SUM(Q158:U158)-('OPEB Amounts_Report'!H158-'OPEB Amounts_Report'!M158)</f>
        <v>0</v>
      </c>
    </row>
    <row r="159" spans="1:24">
      <c r="A159" s="187">
        <v>9028</v>
      </c>
      <c r="B159" s="188" t="s">
        <v>147</v>
      </c>
      <c r="C159" s="5">
        <f t="shared" si="2"/>
        <v>-150505</v>
      </c>
      <c r="D159" s="5">
        <f t="shared" si="2"/>
        <v>-111759</v>
      </c>
      <c r="E159" s="5">
        <f t="shared" si="2"/>
        <v>-74429</v>
      </c>
      <c r="F159" s="5">
        <f t="shared" si="2"/>
        <v>-106426</v>
      </c>
      <c r="G159" s="5">
        <f t="shared" si="2"/>
        <v>-55749</v>
      </c>
      <c r="I159" s="186"/>
      <c r="K159" s="64">
        <f>ROUND(VLOOKUP($A159,'Contribution Allocation_Report'!$A$9:$D$311,4,FALSE)*$K$326,0)</f>
        <v>-128298</v>
      </c>
      <c r="L159" s="64">
        <f>ROUND(VLOOKUP($A159,'Contribution Allocation_Report'!$A$9:$D$311,4,FALSE)*$L$326,0)</f>
        <v>-93229</v>
      </c>
      <c r="M159" s="64">
        <f>ROUND(VLOOKUP($A159,'Contribution Allocation_Report'!$A$9:$D$311,4,FALSE)*$M$326,0)</f>
        <v>-56260</v>
      </c>
      <c r="N159" s="64">
        <f>ROUND(VLOOKUP($A159,'Contribution Allocation_Report'!$A$9:$D$311,4,FALSE)*$N$326,0)</f>
        <v>-84822</v>
      </c>
      <c r="O159" s="64">
        <f>ROUND(VLOOKUP($A159,'Contribution Allocation_Report'!$A$9:$D$311,4,FALSE)*$O$326,0)</f>
        <v>-48320</v>
      </c>
      <c r="Q159" s="64">
        <f>+K159+VLOOKUP(A159,'Change in Proportion Layers'!$A$8:$N$324,3,FALSE)+VLOOKUP(A159,'Change in Proportion Layers'!$A$8:$Y$324,10,FALSE)+VLOOKUP(A159,'Change in Proportion Layers'!$A$8:$Y$324,16,FALSE)+VLOOKUP(A159,'Change in Proportion Layers'!$A$8:$Y$324,21,FALSE)+VLOOKUP(A159,'Change in Proportion Layers'!$A$8:$Y$324,25,FALSE)</f>
        <v>-150505</v>
      </c>
      <c r="R159" s="64">
        <f>+L159+VLOOKUP(A159,'Change in Proportion Layers'!$A$8:$Y$324,4,FALSE)+VLOOKUP(A159,'Change in Proportion Layers'!$A$8:$Y$324,11,FALSE)+VLOOKUP(A159,'Change in Proportion Layers'!$A$8:$Y$324,17,FALSE)+VLOOKUP(A159,'Change in Proportion Layers'!$A$8:$Y$324,22,FALSE)</f>
        <v>-111759</v>
      </c>
      <c r="S159" s="64">
        <f>+M159+VLOOKUP(A159,'Change in Proportion Layers'!$A$8:$Y$324,5,FALSE)+VLOOKUP(A159,'Change in Proportion Layers'!$A$8:$Y$324,12,FALSE)+VLOOKUP(A159,'Change in Proportion Layers'!$A$8:$Y$324,18,FALSE)</f>
        <v>-74429</v>
      </c>
      <c r="T159" s="64">
        <f>+N159+VLOOKUP(A159,'Change in Proportion Layers'!$A$8:$Y$324,6,FALSE)+VLOOKUP(A159,'Change in Proportion Layers'!$A$8:$Y$324,13,FALSE)</f>
        <v>-106426</v>
      </c>
      <c r="U159" s="64">
        <f>+O159+VLOOKUP(A159,'Change in Proportion Layers'!$A$8:$Y$324,7,FALSE)-1</f>
        <v>-55749</v>
      </c>
      <c r="W159" s="64">
        <f>('OPEB Amounts_Report'!H157-'OPEB Amounts_Report'!M157)</f>
        <v>-852823</v>
      </c>
      <c r="X159" s="129">
        <f>SUM(Q159:U159)-('OPEB Amounts_Report'!H159-'OPEB Amounts_Report'!M159)</f>
        <v>0</v>
      </c>
    </row>
    <row r="160" spans="1:24">
      <c r="A160" s="184">
        <v>17424</v>
      </c>
      <c r="B160" s="185" t="s">
        <v>148</v>
      </c>
      <c r="C160" s="63">
        <f t="shared" si="2"/>
        <v>-219354</v>
      </c>
      <c r="D160" s="63">
        <f t="shared" si="2"/>
        <v>-129608</v>
      </c>
      <c r="E160" s="63">
        <f t="shared" si="2"/>
        <v>-66918</v>
      </c>
      <c r="F160" s="63">
        <f t="shared" si="2"/>
        <v>-153435</v>
      </c>
      <c r="G160" s="63">
        <f t="shared" si="2"/>
        <v>-94423</v>
      </c>
      <c r="I160" s="186"/>
      <c r="K160" s="64">
        <f>ROUND(VLOOKUP($A160,'Contribution Allocation_Report'!$A$9:$D$311,4,FALSE)*$K$326,0)</f>
        <v>-236975</v>
      </c>
      <c r="L160" s="64">
        <f>ROUND(VLOOKUP($A160,'Contribution Allocation_Report'!$A$9:$D$311,4,FALSE)*$L$326,0)</f>
        <v>-172200</v>
      </c>
      <c r="M160" s="64">
        <f>ROUND(VLOOKUP($A160,'Contribution Allocation_Report'!$A$9:$D$311,4,FALSE)*$M$326,0)</f>
        <v>-103916</v>
      </c>
      <c r="N160" s="64">
        <f>ROUND(VLOOKUP($A160,'Contribution Allocation_Report'!$A$9:$D$311,4,FALSE)*$N$326,0)</f>
        <v>-156672</v>
      </c>
      <c r="O160" s="64">
        <f>ROUND(VLOOKUP($A160,'Contribution Allocation_Report'!$A$9:$D$311,4,FALSE)*$O$326,0)</f>
        <v>-89251</v>
      </c>
      <c r="Q160" s="64">
        <f>+K160+VLOOKUP(A160,'Change in Proportion Layers'!$A$8:$N$324,3,FALSE)+VLOOKUP(A160,'Change in Proportion Layers'!$A$8:$Y$324,10,FALSE)+VLOOKUP(A160,'Change in Proportion Layers'!$A$8:$Y$324,16,FALSE)+VLOOKUP(A160,'Change in Proportion Layers'!$A$8:$Y$324,21,FALSE)+VLOOKUP(A160,'Change in Proportion Layers'!$A$8:$Y$324,25,FALSE)</f>
        <v>-219354</v>
      </c>
      <c r="R160" s="64">
        <f>+L160+VLOOKUP(A160,'Change in Proportion Layers'!$A$8:$Y$324,4,FALSE)+VLOOKUP(A160,'Change in Proportion Layers'!$A$8:$Y$324,11,FALSE)+VLOOKUP(A160,'Change in Proportion Layers'!$A$8:$Y$324,17,FALSE)+VLOOKUP(A160,'Change in Proportion Layers'!$A$8:$Y$324,22,FALSE)</f>
        <v>-129608</v>
      </c>
      <c r="S160" s="64">
        <f>+M160+VLOOKUP(A160,'Change in Proportion Layers'!$A$8:$Y$324,5,FALSE)+VLOOKUP(A160,'Change in Proportion Layers'!$A$8:$Y$324,12,FALSE)+VLOOKUP(A160,'Change in Proportion Layers'!$A$8:$Y$324,18,FALSE)</f>
        <v>-66918</v>
      </c>
      <c r="T160" s="64">
        <f>+N160+VLOOKUP(A160,'Change in Proportion Layers'!$A$8:$Y$324,6,FALSE)+VLOOKUP(A160,'Change in Proportion Layers'!$A$8:$Y$324,13,FALSE)</f>
        <v>-153435</v>
      </c>
      <c r="U160" s="64">
        <f>+O160+VLOOKUP(A160,'Change in Proportion Layers'!$A$8:$Y$324,7,FALSE)</f>
        <v>-94423</v>
      </c>
      <c r="W160" s="64">
        <f>('OPEB Amounts_Report'!H158-'OPEB Amounts_Report'!M158)</f>
        <v>-293432</v>
      </c>
      <c r="X160" s="129">
        <f>SUM(Q160:U160)-('OPEB Amounts_Report'!H160-'OPEB Amounts_Report'!M160)</f>
        <v>0</v>
      </c>
    </row>
    <row r="161" spans="1:24">
      <c r="A161" s="187">
        <v>3200</v>
      </c>
      <c r="B161" s="188" t="s">
        <v>149</v>
      </c>
      <c r="C161" s="5">
        <f t="shared" si="2"/>
        <v>-1354780</v>
      </c>
      <c r="D161" s="5">
        <f t="shared" si="2"/>
        <v>-897006</v>
      </c>
      <c r="E161" s="5">
        <f t="shared" si="2"/>
        <v>-590612</v>
      </c>
      <c r="F161" s="5">
        <f t="shared" si="2"/>
        <v>-666689</v>
      </c>
      <c r="G161" s="5">
        <f t="shared" si="2"/>
        <v>-378601</v>
      </c>
      <c r="I161" s="186"/>
      <c r="K161" s="64">
        <f>ROUND(VLOOKUP($A161,'Contribution Allocation_Report'!$A$9:$D$311,4,FALSE)*$K$326,0)</f>
        <v>-947979</v>
      </c>
      <c r="L161" s="64">
        <f>ROUND(VLOOKUP($A161,'Contribution Allocation_Report'!$A$9:$D$311,4,FALSE)*$L$326,0)</f>
        <v>-688855</v>
      </c>
      <c r="M161" s="64">
        <f>ROUND(VLOOKUP($A161,'Contribution Allocation_Report'!$A$9:$D$311,4,FALSE)*$M$326,0)</f>
        <v>-415700</v>
      </c>
      <c r="N161" s="64">
        <f>ROUND(VLOOKUP($A161,'Contribution Allocation_Report'!$A$9:$D$311,4,FALSE)*$N$326,0)</f>
        <v>-626739</v>
      </c>
      <c r="O161" s="64">
        <f>ROUND(VLOOKUP($A161,'Contribution Allocation_Report'!$A$9:$D$311,4,FALSE)*$O$326,0)</f>
        <v>-357034</v>
      </c>
      <c r="Q161" s="64">
        <f>+K161+VLOOKUP(A161,'Change in Proportion Layers'!$A$8:$N$324,3,FALSE)+VLOOKUP(A161,'Change in Proportion Layers'!$A$8:$Y$324,10,FALSE)+VLOOKUP(A161,'Change in Proportion Layers'!$A$8:$Y$324,16,FALSE)+VLOOKUP(A161,'Change in Proportion Layers'!$A$8:$Y$324,21,FALSE)+VLOOKUP(A161,'Change in Proportion Layers'!$A$8:$Y$324,25,FALSE)</f>
        <v>-1354780</v>
      </c>
      <c r="R161" s="64">
        <f>+L161+VLOOKUP(A161,'Change in Proportion Layers'!$A$8:$Y$324,4,FALSE)+VLOOKUP(A161,'Change in Proportion Layers'!$A$8:$Y$324,11,FALSE)+VLOOKUP(A161,'Change in Proportion Layers'!$A$8:$Y$324,17,FALSE)+VLOOKUP(A161,'Change in Proportion Layers'!$A$8:$Y$324,22,FALSE)</f>
        <v>-897006</v>
      </c>
      <c r="S161" s="64">
        <f>+M161+VLOOKUP(A161,'Change in Proportion Layers'!$A$8:$Y$324,5,FALSE)+VLOOKUP(A161,'Change in Proportion Layers'!$A$8:$Y$324,12,FALSE)+VLOOKUP(A161,'Change in Proportion Layers'!$A$8:$Y$324,18,FALSE)</f>
        <v>-590612</v>
      </c>
      <c r="T161" s="64">
        <f>+N161+VLOOKUP(A161,'Change in Proportion Layers'!$A$8:$Y$324,6,FALSE)+VLOOKUP(A161,'Change in Proportion Layers'!$A$8:$Y$324,13,FALSE)</f>
        <v>-666689</v>
      </c>
      <c r="U161" s="64">
        <f>+O161+VLOOKUP(A161,'Change in Proportion Layers'!$A$8:$Y$324,7,FALSE)</f>
        <v>-378601</v>
      </c>
      <c r="W161" s="64">
        <f>('OPEB Amounts_Report'!H159-'OPEB Amounts_Report'!M159)</f>
        <v>-498868</v>
      </c>
      <c r="X161" s="129">
        <f>SUM(Q161:U161)-('OPEB Amounts_Report'!H161-'OPEB Amounts_Report'!M161)</f>
        <v>0</v>
      </c>
    </row>
    <row r="162" spans="1:24">
      <c r="A162" s="184">
        <v>2365</v>
      </c>
      <c r="B162" s="185" t="s">
        <v>150</v>
      </c>
      <c r="C162" s="63">
        <f t="shared" si="2"/>
        <v>-162694</v>
      </c>
      <c r="D162" s="63">
        <f t="shared" si="2"/>
        <v>-143131</v>
      </c>
      <c r="E162" s="63">
        <f t="shared" si="2"/>
        <v>-128083</v>
      </c>
      <c r="F162" s="63">
        <f t="shared" si="2"/>
        <v>-144620</v>
      </c>
      <c r="G162" s="63">
        <f t="shared" si="2"/>
        <v>-78342</v>
      </c>
      <c r="I162" s="186"/>
      <c r="K162" s="64">
        <f>ROUND(VLOOKUP($A162,'Contribution Allocation_Report'!$A$9:$D$311,4,FALSE)*$K$326,0)</f>
        <v>-135115</v>
      </c>
      <c r="L162" s="64">
        <f>ROUND(VLOOKUP($A162,'Contribution Allocation_Report'!$A$9:$D$311,4,FALSE)*$L$326,0)</f>
        <v>-98182</v>
      </c>
      <c r="M162" s="64">
        <f>ROUND(VLOOKUP($A162,'Contribution Allocation_Report'!$A$9:$D$311,4,FALSE)*$M$326,0)</f>
        <v>-59250</v>
      </c>
      <c r="N162" s="64">
        <f>ROUND(VLOOKUP($A162,'Contribution Allocation_Report'!$A$9:$D$311,4,FALSE)*$N$326,0)</f>
        <v>-89329</v>
      </c>
      <c r="O162" s="64">
        <f>ROUND(VLOOKUP($A162,'Contribution Allocation_Report'!$A$9:$D$311,4,FALSE)*$O$326,0)</f>
        <v>-50888</v>
      </c>
      <c r="Q162" s="64">
        <f>+K162+VLOOKUP(A162,'Change in Proportion Layers'!$A$8:$N$324,3,FALSE)+VLOOKUP(A162,'Change in Proportion Layers'!$A$8:$Y$324,10,FALSE)+VLOOKUP(A162,'Change in Proportion Layers'!$A$8:$Y$324,16,FALSE)+VLOOKUP(A162,'Change in Proportion Layers'!$A$8:$Y$324,21,FALSE)+VLOOKUP(A162,'Change in Proportion Layers'!$A$8:$Y$324,25,FALSE)</f>
        <v>-162694</v>
      </c>
      <c r="R162" s="64">
        <f>+L162+VLOOKUP(A162,'Change in Proportion Layers'!$A$8:$Y$324,4,FALSE)+VLOOKUP(A162,'Change in Proportion Layers'!$A$8:$Y$324,11,FALSE)+VLOOKUP(A162,'Change in Proportion Layers'!$A$8:$Y$324,17,FALSE)+VLOOKUP(A162,'Change in Proportion Layers'!$A$8:$Y$324,22,FALSE)</f>
        <v>-143131</v>
      </c>
      <c r="S162" s="64">
        <f>+M162+VLOOKUP(A162,'Change in Proportion Layers'!$A$8:$Y$324,5,FALSE)+VLOOKUP(A162,'Change in Proportion Layers'!$A$8:$Y$324,12,FALSE)+VLOOKUP(A162,'Change in Proportion Layers'!$A$8:$Y$324,18,FALSE)</f>
        <v>-128083</v>
      </c>
      <c r="T162" s="64">
        <f>+N162+VLOOKUP(A162,'Change in Proportion Layers'!$A$8:$Y$324,6,FALSE)+VLOOKUP(A162,'Change in Proportion Layers'!$A$8:$Y$324,13,FALSE)</f>
        <v>-144620</v>
      </c>
      <c r="U162" s="64">
        <f>+O162+VLOOKUP(A162,'Change in Proportion Layers'!$A$8:$Y$324,7,FALSE)+1</f>
        <v>-78342</v>
      </c>
      <c r="W162" s="64">
        <f>('OPEB Amounts_Report'!H160-'OPEB Amounts_Report'!M160)</f>
        <v>-663738</v>
      </c>
      <c r="X162" s="129">
        <f>SUM(Q162:U162)-('OPEB Amounts_Report'!H162-'OPEB Amounts_Report'!M162)</f>
        <v>0</v>
      </c>
    </row>
    <row r="163" spans="1:24">
      <c r="A163" s="187">
        <v>5014</v>
      </c>
      <c r="B163" s="188" t="s">
        <v>151</v>
      </c>
      <c r="C163" s="5">
        <f t="shared" si="2"/>
        <v>-173973</v>
      </c>
      <c r="D163" s="5">
        <f t="shared" si="2"/>
        <v>-128738</v>
      </c>
      <c r="E163" s="5">
        <f t="shared" si="2"/>
        <v>-73244</v>
      </c>
      <c r="F163" s="5">
        <f t="shared" si="2"/>
        <v>-122863</v>
      </c>
      <c r="G163" s="5">
        <f t="shared" si="2"/>
        <v>-63432</v>
      </c>
      <c r="I163" s="186"/>
      <c r="K163" s="64">
        <f>ROUND(VLOOKUP($A163,'Contribution Allocation_Report'!$A$9:$D$311,4,FALSE)*$K$326,0)</f>
        <v>-189454</v>
      </c>
      <c r="L163" s="64">
        <f>ROUND(VLOOKUP($A163,'Contribution Allocation_Report'!$A$9:$D$311,4,FALSE)*$L$326,0)</f>
        <v>-137668</v>
      </c>
      <c r="M163" s="64">
        <f>ROUND(VLOOKUP($A163,'Contribution Allocation_Report'!$A$9:$D$311,4,FALSE)*$M$326,0)</f>
        <v>-83078</v>
      </c>
      <c r="N163" s="64">
        <f>ROUND(VLOOKUP($A163,'Contribution Allocation_Report'!$A$9:$D$311,4,FALSE)*$N$326,0)</f>
        <v>-125254</v>
      </c>
      <c r="O163" s="64">
        <f>ROUND(VLOOKUP($A163,'Contribution Allocation_Report'!$A$9:$D$311,4,FALSE)*$O$326,0)</f>
        <v>-71353</v>
      </c>
      <c r="Q163" s="64">
        <f>+K163+VLOOKUP(A163,'Change in Proportion Layers'!$A$8:$N$324,3,FALSE)+VLOOKUP(A163,'Change in Proportion Layers'!$A$8:$Y$324,10,FALSE)+VLOOKUP(A163,'Change in Proportion Layers'!$A$8:$Y$324,16,FALSE)+VLOOKUP(A163,'Change in Proportion Layers'!$A$8:$Y$324,21,FALSE)+VLOOKUP(A163,'Change in Proportion Layers'!$A$8:$Y$324,25,FALSE)</f>
        <v>-173973</v>
      </c>
      <c r="R163" s="64">
        <f>+L163+VLOOKUP(A163,'Change in Proportion Layers'!$A$8:$Y$324,4,FALSE)+VLOOKUP(A163,'Change in Proportion Layers'!$A$8:$Y$324,11,FALSE)+VLOOKUP(A163,'Change in Proportion Layers'!$A$8:$Y$324,17,FALSE)+VLOOKUP(A163,'Change in Proportion Layers'!$A$8:$Y$324,22,FALSE)</f>
        <v>-128738</v>
      </c>
      <c r="S163" s="64">
        <f>+M163+VLOOKUP(A163,'Change in Proportion Layers'!$A$8:$Y$324,5,FALSE)+VLOOKUP(A163,'Change in Proportion Layers'!$A$8:$Y$324,12,FALSE)+VLOOKUP(A163,'Change in Proportion Layers'!$A$8:$Y$324,18,FALSE)</f>
        <v>-73244</v>
      </c>
      <c r="T163" s="64">
        <f>+N163+VLOOKUP(A163,'Change in Proportion Layers'!$A$8:$Y$324,6,FALSE)+VLOOKUP(A163,'Change in Proportion Layers'!$A$8:$Y$324,13,FALSE)</f>
        <v>-122863</v>
      </c>
      <c r="U163" s="64">
        <f>+O163+VLOOKUP(A163,'Change in Proportion Layers'!$A$8:$Y$324,7,FALSE)+1</f>
        <v>-63432</v>
      </c>
      <c r="W163" s="64">
        <f>('OPEB Amounts_Report'!H161-'OPEB Amounts_Report'!M161)</f>
        <v>-3887688</v>
      </c>
      <c r="X163" s="129">
        <f>SUM(Q163:U163)-('OPEB Amounts_Report'!H163-'OPEB Amounts_Report'!M163)</f>
        <v>0</v>
      </c>
    </row>
    <row r="164" spans="1:24">
      <c r="A164" s="184">
        <v>17127</v>
      </c>
      <c r="B164" s="185" t="s">
        <v>152</v>
      </c>
      <c r="C164" s="63">
        <f t="shared" si="2"/>
        <v>-365556</v>
      </c>
      <c r="D164" s="63">
        <f t="shared" si="2"/>
        <v>-222850</v>
      </c>
      <c r="E164" s="63">
        <f t="shared" si="2"/>
        <v>-6667</v>
      </c>
      <c r="F164" s="63">
        <f t="shared" si="2"/>
        <v>-161603</v>
      </c>
      <c r="G164" s="63">
        <f t="shared" si="2"/>
        <v>-70675</v>
      </c>
      <c r="I164" s="186"/>
      <c r="K164" s="64">
        <f>ROUND(VLOOKUP($A164,'Contribution Allocation_Report'!$A$9:$D$311,4,FALSE)*$K$326,0)</f>
        <v>-198317</v>
      </c>
      <c r="L164" s="64">
        <f>ROUND(VLOOKUP($A164,'Contribution Allocation_Report'!$A$9:$D$311,4,FALSE)*$L$326,0)</f>
        <v>-144108</v>
      </c>
      <c r="M164" s="64">
        <f>ROUND(VLOOKUP($A164,'Contribution Allocation_Report'!$A$9:$D$311,4,FALSE)*$M$326,0)</f>
        <v>-86964</v>
      </c>
      <c r="N164" s="64">
        <f>ROUND(VLOOKUP($A164,'Contribution Allocation_Report'!$A$9:$D$311,4,FALSE)*$N$326,0)</f>
        <v>-131113</v>
      </c>
      <c r="O164" s="64">
        <f>ROUND(VLOOKUP($A164,'Contribution Allocation_Report'!$A$9:$D$311,4,FALSE)*$O$326,0)</f>
        <v>-74691</v>
      </c>
      <c r="Q164" s="64">
        <f>+K164+VLOOKUP(A164,'Change in Proportion Layers'!$A$8:$N$324,3,FALSE)+VLOOKUP(A164,'Change in Proportion Layers'!$A$8:$Y$324,10,FALSE)+VLOOKUP(A164,'Change in Proportion Layers'!$A$8:$Y$324,16,FALSE)+VLOOKUP(A164,'Change in Proportion Layers'!$A$8:$Y$324,21,FALSE)+VLOOKUP(A164,'Change in Proportion Layers'!$A$8:$Y$324,25,FALSE)</f>
        <v>-365556</v>
      </c>
      <c r="R164" s="64">
        <f>+L164+VLOOKUP(A164,'Change in Proportion Layers'!$A$8:$Y$324,4,FALSE)+VLOOKUP(A164,'Change in Proportion Layers'!$A$8:$Y$324,11,FALSE)+VLOOKUP(A164,'Change in Proportion Layers'!$A$8:$Y$324,17,FALSE)+VLOOKUP(A164,'Change in Proportion Layers'!$A$8:$Y$324,22,FALSE)</f>
        <v>-222850</v>
      </c>
      <c r="S164" s="64">
        <f>+M164+VLOOKUP(A164,'Change in Proportion Layers'!$A$8:$Y$324,5,FALSE)+VLOOKUP(A164,'Change in Proportion Layers'!$A$8:$Y$324,12,FALSE)+VLOOKUP(A164,'Change in Proportion Layers'!$A$8:$Y$324,18,FALSE)</f>
        <v>-6667</v>
      </c>
      <c r="T164" s="64">
        <f>+N164+VLOOKUP(A164,'Change in Proportion Layers'!$A$8:$Y$324,6,FALSE)+VLOOKUP(A164,'Change in Proportion Layers'!$A$8:$Y$324,13,FALSE)</f>
        <v>-161603</v>
      </c>
      <c r="U164" s="64">
        <f>+O164+VLOOKUP(A164,'Change in Proportion Layers'!$A$8:$Y$324,7,FALSE)-1</f>
        <v>-70675</v>
      </c>
      <c r="W164" s="64">
        <f>('OPEB Amounts_Report'!H162-'OPEB Amounts_Report'!M162)</f>
        <v>-656870</v>
      </c>
      <c r="X164" s="129">
        <f>SUM(Q164:U164)-('OPEB Amounts_Report'!H164-'OPEB Amounts_Report'!M164)</f>
        <v>0</v>
      </c>
    </row>
    <row r="165" spans="1:24">
      <c r="A165" s="187">
        <v>10141</v>
      </c>
      <c r="B165" s="188" t="s">
        <v>153</v>
      </c>
      <c r="C165" s="5">
        <f t="shared" si="2"/>
        <v>-325465</v>
      </c>
      <c r="D165" s="5">
        <f t="shared" si="2"/>
        <v>-225890</v>
      </c>
      <c r="E165" s="5">
        <f t="shared" si="2"/>
        <v>-116275</v>
      </c>
      <c r="F165" s="5">
        <f t="shared" si="2"/>
        <v>-143442</v>
      </c>
      <c r="G165" s="5">
        <f t="shared" si="2"/>
        <v>-26534</v>
      </c>
      <c r="I165" s="186"/>
      <c r="K165" s="64">
        <f>ROUND(VLOOKUP($A165,'Contribution Allocation_Report'!$A$9:$D$311,4,FALSE)*$K$326,0)</f>
        <v>-367108</v>
      </c>
      <c r="L165" s="64">
        <f>ROUND(VLOOKUP($A165,'Contribution Allocation_Report'!$A$9:$D$311,4,FALSE)*$L$326,0)</f>
        <v>-266762</v>
      </c>
      <c r="M165" s="64">
        <f>ROUND(VLOOKUP($A165,'Contribution Allocation_Report'!$A$9:$D$311,4,FALSE)*$M$326,0)</f>
        <v>-160981</v>
      </c>
      <c r="N165" s="64">
        <f>ROUND(VLOOKUP($A165,'Contribution Allocation_Report'!$A$9:$D$311,4,FALSE)*$N$326,0)</f>
        <v>-242707</v>
      </c>
      <c r="O165" s="64">
        <f>ROUND(VLOOKUP($A165,'Contribution Allocation_Report'!$A$9:$D$311,4,FALSE)*$O$326,0)</f>
        <v>-138263</v>
      </c>
      <c r="Q165" s="64">
        <f>+K165+VLOOKUP(A165,'Change in Proportion Layers'!$A$8:$N$324,3,FALSE)+VLOOKUP(A165,'Change in Proportion Layers'!$A$8:$Y$324,10,FALSE)+VLOOKUP(A165,'Change in Proportion Layers'!$A$8:$Y$324,16,FALSE)+VLOOKUP(A165,'Change in Proportion Layers'!$A$8:$Y$324,21,FALSE)+VLOOKUP(A165,'Change in Proportion Layers'!$A$8:$Y$324,25,FALSE)</f>
        <v>-325465</v>
      </c>
      <c r="R165" s="64">
        <f>+L165+VLOOKUP(A165,'Change in Proportion Layers'!$A$8:$Y$324,4,FALSE)+VLOOKUP(A165,'Change in Proportion Layers'!$A$8:$Y$324,11,FALSE)+VLOOKUP(A165,'Change in Proportion Layers'!$A$8:$Y$324,17,FALSE)+VLOOKUP(A165,'Change in Proportion Layers'!$A$8:$Y$324,22,FALSE)</f>
        <v>-225890</v>
      </c>
      <c r="S165" s="64">
        <f>+M165+VLOOKUP(A165,'Change in Proportion Layers'!$A$8:$Y$324,5,FALSE)+VLOOKUP(A165,'Change in Proportion Layers'!$A$8:$Y$324,12,FALSE)+VLOOKUP(A165,'Change in Proportion Layers'!$A$8:$Y$324,18,FALSE)</f>
        <v>-116275</v>
      </c>
      <c r="T165" s="64">
        <f>+N165+VLOOKUP(A165,'Change in Proportion Layers'!$A$8:$Y$324,6,FALSE)+VLOOKUP(A165,'Change in Proportion Layers'!$A$8:$Y$324,13,FALSE)</f>
        <v>-143442</v>
      </c>
      <c r="U165" s="64">
        <f>+O165+VLOOKUP(A165,'Change in Proportion Layers'!$A$8:$Y$324,7,FALSE)</f>
        <v>-26534</v>
      </c>
      <c r="W165" s="64">
        <f>('OPEB Amounts_Report'!H163-'OPEB Amounts_Report'!M163)</f>
        <v>-562250</v>
      </c>
      <c r="X165" s="129">
        <f>SUM(Q165:U165)-('OPEB Amounts_Report'!H165-'OPEB Amounts_Report'!M165)</f>
        <v>0</v>
      </c>
    </row>
    <row r="166" spans="1:24">
      <c r="A166" s="184">
        <v>4570</v>
      </c>
      <c r="B166" s="185" t="s">
        <v>412</v>
      </c>
      <c r="C166" s="63">
        <f t="shared" ref="C166:G217" si="3">+Q166</f>
        <v>756090</v>
      </c>
      <c r="D166" s="63">
        <f t="shared" si="3"/>
        <v>443464</v>
      </c>
      <c r="E166" s="63">
        <f t="shared" si="3"/>
        <v>-253376</v>
      </c>
      <c r="F166" s="63">
        <f t="shared" si="3"/>
        <v>-365099</v>
      </c>
      <c r="G166" s="63">
        <f t="shared" si="3"/>
        <v>-222558</v>
      </c>
      <c r="I166" s="186"/>
      <c r="K166" s="64">
        <f>ROUND(VLOOKUP($A166,'Contribution Allocation_Report'!$A$9:$D$311,4,FALSE)*$K$326,0)</f>
        <v>-718261</v>
      </c>
      <c r="L166" s="64">
        <f>ROUND(VLOOKUP($A166,'Contribution Allocation_Report'!$A$9:$D$311,4,FALSE)*$L$326,0)</f>
        <v>-521929</v>
      </c>
      <c r="M166" s="64">
        <f>ROUND(VLOOKUP($A166,'Contribution Allocation_Report'!$A$9:$D$311,4,FALSE)*$M$326,0)</f>
        <v>-314966</v>
      </c>
      <c r="N166" s="64">
        <f>ROUND(VLOOKUP($A166,'Contribution Allocation_Report'!$A$9:$D$311,4,FALSE)*$N$326,0)</f>
        <v>-474865</v>
      </c>
      <c r="O166" s="64">
        <f>ROUND(VLOOKUP($A166,'Contribution Allocation_Report'!$A$9:$D$311,4,FALSE)*$O$326,0)</f>
        <v>-270516</v>
      </c>
      <c r="Q166" s="64">
        <f>+K166+VLOOKUP(A166,'Change in Proportion Layers'!$A$8:$N$324,3,FALSE)+VLOOKUP(A166,'Change in Proportion Layers'!$A$8:$Y$324,10,FALSE)+VLOOKUP(A166,'Change in Proportion Layers'!$A$8:$Y$324,16,FALSE)+VLOOKUP(A166,'Change in Proportion Layers'!$A$8:$Y$324,21,FALSE)+VLOOKUP(A166,'Change in Proportion Layers'!$A$8:$Y$324,25,FALSE)</f>
        <v>756090</v>
      </c>
      <c r="R166" s="64">
        <f>+L166+VLOOKUP(A166,'Change in Proportion Layers'!$A$8:$Y$324,4,FALSE)+VLOOKUP(A166,'Change in Proportion Layers'!$A$8:$Y$324,11,FALSE)+VLOOKUP(A166,'Change in Proportion Layers'!$A$8:$Y$324,17,FALSE)+VLOOKUP(A166,'Change in Proportion Layers'!$A$8:$Y$324,22,FALSE)</f>
        <v>443464</v>
      </c>
      <c r="S166" s="64">
        <f>+M166+VLOOKUP(A166,'Change in Proportion Layers'!$A$8:$Y$324,5,FALSE)+VLOOKUP(A166,'Change in Proportion Layers'!$A$8:$Y$324,12,FALSE)+VLOOKUP(A166,'Change in Proportion Layers'!$A$8:$Y$324,18,FALSE)</f>
        <v>-253376</v>
      </c>
      <c r="T166" s="64">
        <f>+N166+VLOOKUP(A166,'Change in Proportion Layers'!$A$8:$Y$324,6,FALSE)+VLOOKUP(A166,'Change in Proportion Layers'!$A$8:$Y$324,13,FALSE)</f>
        <v>-365099</v>
      </c>
      <c r="U166" s="64">
        <f>+O166+VLOOKUP(A166,'Change in Proportion Layers'!$A$8:$Y$324,7,FALSE)</f>
        <v>-222558</v>
      </c>
      <c r="W166" s="64">
        <f>('OPEB Amounts_Report'!H164-'OPEB Amounts_Report'!M164)</f>
        <v>-827351</v>
      </c>
      <c r="X166" s="129">
        <f>SUM(Q166:U166)-('OPEB Amounts_Report'!H166-'OPEB Amounts_Report'!M166)</f>
        <v>0</v>
      </c>
    </row>
    <row r="167" spans="1:24">
      <c r="A167" s="187">
        <v>13369</v>
      </c>
      <c r="B167" s="188" t="s">
        <v>154</v>
      </c>
      <c r="C167" s="5">
        <f t="shared" si="3"/>
        <v>-54738</v>
      </c>
      <c r="D167" s="5">
        <f t="shared" si="3"/>
        <v>-37913</v>
      </c>
      <c r="E167" s="5">
        <f t="shared" si="3"/>
        <v>-17784</v>
      </c>
      <c r="F167" s="5">
        <f t="shared" si="3"/>
        <v>-49802</v>
      </c>
      <c r="G167" s="5">
        <f t="shared" si="3"/>
        <v>-17942</v>
      </c>
      <c r="I167" s="186"/>
      <c r="K167" s="64">
        <f>ROUND(VLOOKUP($A167,'Contribution Allocation_Report'!$A$9:$D$311,4,FALSE)*$K$326,0)</f>
        <v>-67202</v>
      </c>
      <c r="L167" s="64">
        <f>ROUND(VLOOKUP($A167,'Contribution Allocation_Report'!$A$9:$D$311,4,FALSE)*$L$326,0)</f>
        <v>-48833</v>
      </c>
      <c r="M167" s="64">
        <f>ROUND(VLOOKUP($A167,'Contribution Allocation_Report'!$A$9:$D$311,4,FALSE)*$M$326,0)</f>
        <v>-29469</v>
      </c>
      <c r="N167" s="64">
        <f>ROUND(VLOOKUP($A167,'Contribution Allocation_Report'!$A$9:$D$311,4,FALSE)*$N$326,0)</f>
        <v>-44429</v>
      </c>
      <c r="O167" s="64">
        <f>ROUND(VLOOKUP($A167,'Contribution Allocation_Report'!$A$9:$D$311,4,FALSE)*$O$326,0)</f>
        <v>-25310</v>
      </c>
      <c r="Q167" s="64">
        <f>+K167+VLOOKUP(A167,'Change in Proportion Layers'!$A$8:$N$324,3,FALSE)+VLOOKUP(A167,'Change in Proportion Layers'!$A$8:$Y$324,10,FALSE)+VLOOKUP(A167,'Change in Proportion Layers'!$A$8:$Y$324,16,FALSE)+VLOOKUP(A167,'Change in Proportion Layers'!$A$8:$Y$324,21,FALSE)+VLOOKUP(A167,'Change in Proportion Layers'!$A$8:$Y$324,25,FALSE)</f>
        <v>-54738</v>
      </c>
      <c r="R167" s="64">
        <f>+L167+VLOOKUP(A167,'Change in Proportion Layers'!$A$8:$Y$324,4,FALSE)+VLOOKUP(A167,'Change in Proportion Layers'!$A$8:$Y$324,11,FALSE)+VLOOKUP(A167,'Change in Proportion Layers'!$A$8:$Y$324,17,FALSE)+VLOOKUP(A167,'Change in Proportion Layers'!$A$8:$Y$324,22,FALSE)</f>
        <v>-37913</v>
      </c>
      <c r="S167" s="64">
        <f>+M167+VLOOKUP(A167,'Change in Proportion Layers'!$A$8:$Y$324,5,FALSE)+VLOOKUP(A167,'Change in Proportion Layers'!$A$8:$Y$324,12,FALSE)+VLOOKUP(A167,'Change in Proportion Layers'!$A$8:$Y$324,18,FALSE)</f>
        <v>-17784</v>
      </c>
      <c r="T167" s="64">
        <f>+N167+VLOOKUP(A167,'Change in Proportion Layers'!$A$8:$Y$324,6,FALSE)+VLOOKUP(A167,'Change in Proportion Layers'!$A$8:$Y$324,13,FALSE)</f>
        <v>-49802</v>
      </c>
      <c r="U167" s="64">
        <f>+O167+VLOOKUP(A167,'Change in Proportion Layers'!$A$8:$Y$324,7,FALSE)-1</f>
        <v>-17942</v>
      </c>
      <c r="W167" s="64">
        <f>('OPEB Amounts_Report'!H165-'OPEB Amounts_Report'!M165)</f>
        <v>-837606</v>
      </c>
      <c r="X167" s="129">
        <f>SUM(Q167:U167)-('OPEB Amounts_Report'!H167-'OPEB Amounts_Report'!M167)</f>
        <v>0</v>
      </c>
    </row>
    <row r="168" spans="1:24">
      <c r="A168" s="184">
        <v>2425</v>
      </c>
      <c r="B168" s="185" t="s">
        <v>155</v>
      </c>
      <c r="C168" s="63">
        <f t="shared" si="3"/>
        <v>222547</v>
      </c>
      <c r="D168" s="63">
        <f t="shared" si="3"/>
        <v>437393</v>
      </c>
      <c r="E168" s="63">
        <f t="shared" si="3"/>
        <v>558146</v>
      </c>
      <c r="F168" s="63">
        <f t="shared" si="3"/>
        <v>60127</v>
      </c>
      <c r="G168" s="63">
        <f t="shared" si="3"/>
        <v>75990</v>
      </c>
      <c r="I168" s="186"/>
      <c r="K168" s="64">
        <f>ROUND(VLOOKUP($A168,'Contribution Allocation_Report'!$A$9:$D$311,4,FALSE)*$K$326,0)</f>
        <v>-1176495</v>
      </c>
      <c r="L168" s="64">
        <f>ROUND(VLOOKUP($A168,'Contribution Allocation_Report'!$A$9:$D$311,4,FALSE)*$L$326,0)</f>
        <v>-854908</v>
      </c>
      <c r="M168" s="64">
        <f>ROUND(VLOOKUP($A168,'Contribution Allocation_Report'!$A$9:$D$311,4,FALSE)*$M$326,0)</f>
        <v>-515907</v>
      </c>
      <c r="N168" s="64">
        <f>ROUND(VLOOKUP($A168,'Contribution Allocation_Report'!$A$9:$D$311,4,FALSE)*$N$326,0)</f>
        <v>-777818</v>
      </c>
      <c r="O168" s="64">
        <f>ROUND(VLOOKUP($A168,'Contribution Allocation_Report'!$A$9:$D$311,4,FALSE)*$O$326,0)</f>
        <v>-443099</v>
      </c>
      <c r="Q168" s="64">
        <f>+K168+VLOOKUP(A168,'Change in Proportion Layers'!$A$8:$N$324,3,FALSE)+VLOOKUP(A168,'Change in Proportion Layers'!$A$8:$Y$324,10,FALSE)+VLOOKUP(A168,'Change in Proportion Layers'!$A$8:$Y$324,16,FALSE)+VLOOKUP(A168,'Change in Proportion Layers'!$A$8:$Y$324,21,FALSE)+VLOOKUP(A168,'Change in Proportion Layers'!$A$8:$Y$324,25,FALSE)</f>
        <v>222547</v>
      </c>
      <c r="R168" s="64">
        <f>+L168+VLOOKUP(A168,'Change in Proportion Layers'!$A$8:$Y$324,4,FALSE)+VLOOKUP(A168,'Change in Proportion Layers'!$A$8:$Y$324,11,FALSE)+VLOOKUP(A168,'Change in Proportion Layers'!$A$8:$Y$324,17,FALSE)+VLOOKUP(A168,'Change in Proportion Layers'!$A$8:$Y$324,22,FALSE)</f>
        <v>437393</v>
      </c>
      <c r="S168" s="64">
        <f>+M168+VLOOKUP(A168,'Change in Proportion Layers'!$A$8:$Y$324,5,FALSE)+VLOOKUP(A168,'Change in Proportion Layers'!$A$8:$Y$324,12,FALSE)+VLOOKUP(A168,'Change in Proportion Layers'!$A$8:$Y$324,18,FALSE)</f>
        <v>558146</v>
      </c>
      <c r="T168" s="64">
        <f>+N168+VLOOKUP(A168,'Change in Proportion Layers'!$A$8:$Y$324,6,FALSE)+VLOOKUP(A168,'Change in Proportion Layers'!$A$8:$Y$324,13,FALSE)</f>
        <v>60127</v>
      </c>
      <c r="U168" s="64">
        <f>+O168+VLOOKUP(A168,'Change in Proportion Layers'!$A$8:$Y$324,7,FALSE)</f>
        <v>75990</v>
      </c>
      <c r="W168" s="64">
        <f>('OPEB Amounts_Report'!H167-'OPEB Amounts_Report'!M167)</f>
        <v>-178179</v>
      </c>
      <c r="X168" s="129">
        <f>SUM(Q168:U168)-('OPEB Amounts_Report'!H168-'OPEB Amounts_Report'!M168)</f>
        <v>0</v>
      </c>
    </row>
    <row r="169" spans="1:24">
      <c r="A169" s="187">
        <v>1306</v>
      </c>
      <c r="B169" s="188" t="s">
        <v>156</v>
      </c>
      <c r="C169" s="5">
        <f t="shared" si="3"/>
        <v>-125191</v>
      </c>
      <c r="D169" s="5">
        <f t="shared" si="3"/>
        <v>-94713</v>
      </c>
      <c r="E169" s="5">
        <f t="shared" si="3"/>
        <v>-42921</v>
      </c>
      <c r="F169" s="5">
        <f t="shared" si="3"/>
        <v>-110162</v>
      </c>
      <c r="G169" s="5">
        <f t="shared" si="3"/>
        <v>-62183</v>
      </c>
      <c r="I169" s="186"/>
      <c r="K169" s="64">
        <f>ROUND(VLOOKUP($A169,'Contribution Allocation_Report'!$A$9:$D$311,4,FALSE)*$K$326,0)</f>
        <v>-240384</v>
      </c>
      <c r="L169" s="64">
        <f>ROUND(VLOOKUP($A169,'Contribution Allocation_Report'!$A$9:$D$311,4,FALSE)*$L$326,0)</f>
        <v>-174676</v>
      </c>
      <c r="M169" s="64">
        <f>ROUND(VLOOKUP($A169,'Contribution Allocation_Report'!$A$9:$D$311,4,FALSE)*$M$326,0)</f>
        <v>-105411</v>
      </c>
      <c r="N169" s="64">
        <f>ROUND(VLOOKUP($A169,'Contribution Allocation_Report'!$A$9:$D$311,4,FALSE)*$N$326,0)</f>
        <v>-158925</v>
      </c>
      <c r="O169" s="64">
        <f>ROUND(VLOOKUP($A169,'Contribution Allocation_Report'!$A$9:$D$311,4,FALSE)*$O$326,0)</f>
        <v>-90535</v>
      </c>
      <c r="Q169" s="64">
        <f>+K169+VLOOKUP(A169,'Change in Proportion Layers'!$A$8:$N$324,3,FALSE)+VLOOKUP(A169,'Change in Proportion Layers'!$A$8:$Y$324,10,FALSE)+VLOOKUP(A169,'Change in Proportion Layers'!$A$8:$Y$324,16,FALSE)+VLOOKUP(A169,'Change in Proportion Layers'!$A$8:$Y$324,21,FALSE)+VLOOKUP(A169,'Change in Proportion Layers'!$A$8:$Y$324,25,FALSE)</f>
        <v>-125191</v>
      </c>
      <c r="R169" s="64">
        <f>+L169+VLOOKUP(A169,'Change in Proportion Layers'!$A$8:$Y$324,4,FALSE)+VLOOKUP(A169,'Change in Proportion Layers'!$A$8:$Y$324,11,FALSE)+VLOOKUP(A169,'Change in Proportion Layers'!$A$8:$Y$324,17,FALSE)+VLOOKUP(A169,'Change in Proportion Layers'!$A$8:$Y$324,22,FALSE)</f>
        <v>-94713</v>
      </c>
      <c r="S169" s="64">
        <f>+M169+VLOOKUP(A169,'Change in Proportion Layers'!$A$8:$Y$324,5,FALSE)+VLOOKUP(A169,'Change in Proportion Layers'!$A$8:$Y$324,12,FALSE)+VLOOKUP(A169,'Change in Proportion Layers'!$A$8:$Y$324,18,FALSE)</f>
        <v>-42921</v>
      </c>
      <c r="T169" s="64">
        <f>+N169+VLOOKUP(A169,'Change in Proportion Layers'!$A$8:$Y$324,6,FALSE)+VLOOKUP(A169,'Change in Proportion Layers'!$A$8:$Y$324,13,FALSE)</f>
        <v>-110162</v>
      </c>
      <c r="U169" s="64">
        <f>+O169+VLOOKUP(A169,'Change in Proportion Layers'!$A$8:$Y$324,7,FALSE)</f>
        <v>-62183</v>
      </c>
      <c r="W169" s="64">
        <f>('OPEB Amounts_Report'!H166-'OPEB Amounts_Report'!M166)</f>
        <v>358521</v>
      </c>
      <c r="X169" s="129">
        <f>SUM(Q169:U169)-('OPEB Amounts_Report'!H169-'OPEB Amounts_Report'!M169)</f>
        <v>0</v>
      </c>
    </row>
    <row r="170" spans="1:24">
      <c r="A170" s="184">
        <v>2351</v>
      </c>
      <c r="B170" s="185" t="s">
        <v>157</v>
      </c>
      <c r="C170" s="63">
        <f t="shared" si="3"/>
        <v>-148255</v>
      </c>
      <c r="D170" s="63">
        <f t="shared" si="3"/>
        <v>-88462</v>
      </c>
      <c r="E170" s="63">
        <f t="shared" si="3"/>
        <v>-31666</v>
      </c>
      <c r="F170" s="63">
        <f t="shared" si="3"/>
        <v>-99263</v>
      </c>
      <c r="G170" s="63">
        <f t="shared" si="3"/>
        <v>-42071</v>
      </c>
      <c r="I170" s="186"/>
      <c r="K170" s="64">
        <f>ROUND(VLOOKUP($A170,'Contribution Allocation_Report'!$A$9:$D$311,4,FALSE)*$K$326,0)</f>
        <v>-197495</v>
      </c>
      <c r="L170" s="64">
        <f>ROUND(VLOOKUP($A170,'Contribution Allocation_Report'!$A$9:$D$311,4,FALSE)*$L$326,0)</f>
        <v>-143511</v>
      </c>
      <c r="M170" s="64">
        <f>ROUND(VLOOKUP($A170,'Contribution Allocation_Report'!$A$9:$D$311,4,FALSE)*$M$326,0)</f>
        <v>-86604</v>
      </c>
      <c r="N170" s="64">
        <f>ROUND(VLOOKUP($A170,'Contribution Allocation_Report'!$A$9:$D$311,4,FALSE)*$N$326,0)</f>
        <v>-130570</v>
      </c>
      <c r="O170" s="64">
        <f>ROUND(VLOOKUP($A170,'Contribution Allocation_Report'!$A$9:$D$311,4,FALSE)*$O$326,0)</f>
        <v>-74382</v>
      </c>
      <c r="Q170" s="64">
        <f>+K170+VLOOKUP(A170,'Change in Proportion Layers'!$A$8:$N$324,3,FALSE)+VLOOKUP(A170,'Change in Proportion Layers'!$A$8:$Y$324,10,FALSE)+VLOOKUP(A170,'Change in Proportion Layers'!$A$8:$Y$324,16,FALSE)+VLOOKUP(A170,'Change in Proportion Layers'!$A$8:$Y$324,21,FALSE)+VLOOKUP(A170,'Change in Proportion Layers'!$A$8:$Y$324,25,FALSE)</f>
        <v>-148255</v>
      </c>
      <c r="R170" s="64">
        <f>+L170+VLOOKUP(A170,'Change in Proportion Layers'!$A$8:$Y$324,4,FALSE)+VLOOKUP(A170,'Change in Proportion Layers'!$A$8:$Y$324,11,FALSE)+VLOOKUP(A170,'Change in Proportion Layers'!$A$8:$Y$324,17,FALSE)+VLOOKUP(A170,'Change in Proportion Layers'!$A$8:$Y$324,22,FALSE)</f>
        <v>-88462</v>
      </c>
      <c r="S170" s="64">
        <f>+M170+VLOOKUP(A170,'Change in Proportion Layers'!$A$8:$Y$324,5,FALSE)+VLOOKUP(A170,'Change in Proportion Layers'!$A$8:$Y$324,12,FALSE)+VLOOKUP(A170,'Change in Proportion Layers'!$A$8:$Y$324,18,FALSE)</f>
        <v>-31666</v>
      </c>
      <c r="T170" s="64">
        <f>+N170+VLOOKUP(A170,'Change in Proportion Layers'!$A$8:$Y$324,6,FALSE)+VLOOKUP(A170,'Change in Proportion Layers'!$A$8:$Y$324,13,FALSE)</f>
        <v>-99263</v>
      </c>
      <c r="U170" s="64">
        <f>+O170+VLOOKUP(A170,'Change in Proportion Layers'!$A$8:$Y$324,7,FALSE)-2</f>
        <v>-42071</v>
      </c>
      <c r="W170" s="64">
        <f>('OPEB Amounts_Report'!H168-'OPEB Amounts_Report'!M168)</f>
        <v>1354203</v>
      </c>
      <c r="X170" s="129">
        <f>SUM(Q170:U170)-('OPEB Amounts_Report'!H170-'OPEB Amounts_Report'!M170)</f>
        <v>0</v>
      </c>
    </row>
    <row r="171" spans="1:24">
      <c r="A171" s="187">
        <v>2334</v>
      </c>
      <c r="B171" s="188" t="s">
        <v>158</v>
      </c>
      <c r="C171" s="5">
        <f t="shared" si="3"/>
        <v>-98252</v>
      </c>
      <c r="D171" s="5">
        <f t="shared" si="3"/>
        <v>-66781</v>
      </c>
      <c r="E171" s="5">
        <f t="shared" si="3"/>
        <v>-37372</v>
      </c>
      <c r="F171" s="5">
        <f t="shared" si="3"/>
        <v>-75259</v>
      </c>
      <c r="G171" s="5">
        <f t="shared" si="3"/>
        <v>-28993</v>
      </c>
      <c r="I171" s="186"/>
      <c r="K171" s="64">
        <f>ROUND(VLOOKUP($A171,'Contribution Allocation_Report'!$A$9:$D$311,4,FALSE)*$K$326,0)</f>
        <v>-143005</v>
      </c>
      <c r="L171" s="64">
        <f>ROUND(VLOOKUP($A171,'Contribution Allocation_Report'!$A$9:$D$311,4,FALSE)*$L$326,0)</f>
        <v>-103916</v>
      </c>
      <c r="M171" s="64">
        <f>ROUND(VLOOKUP($A171,'Contribution Allocation_Report'!$A$9:$D$311,4,FALSE)*$M$326,0)</f>
        <v>-62710</v>
      </c>
      <c r="N171" s="64">
        <f>ROUND(VLOOKUP($A171,'Contribution Allocation_Report'!$A$9:$D$311,4,FALSE)*$N$326,0)</f>
        <v>-94545</v>
      </c>
      <c r="O171" s="64">
        <f>ROUND(VLOOKUP($A171,'Contribution Allocation_Report'!$A$9:$D$311,4,FALSE)*$O$326,0)</f>
        <v>-53860</v>
      </c>
      <c r="Q171" s="64">
        <f>+K171+VLOOKUP(A171,'Change in Proportion Layers'!$A$8:$N$324,3,FALSE)+VLOOKUP(A171,'Change in Proportion Layers'!$A$8:$Y$324,10,FALSE)+VLOOKUP(A171,'Change in Proportion Layers'!$A$8:$Y$324,16,FALSE)+VLOOKUP(A171,'Change in Proportion Layers'!$A$8:$Y$324,21,FALSE)+VLOOKUP(A171,'Change in Proportion Layers'!$A$8:$Y$324,25,FALSE)</f>
        <v>-98252</v>
      </c>
      <c r="R171" s="64">
        <f>+L171+VLOOKUP(A171,'Change in Proportion Layers'!$A$8:$Y$324,4,FALSE)+VLOOKUP(A171,'Change in Proportion Layers'!$A$8:$Y$324,11,FALSE)+VLOOKUP(A171,'Change in Proportion Layers'!$A$8:$Y$324,17,FALSE)+VLOOKUP(A171,'Change in Proportion Layers'!$A$8:$Y$324,22,FALSE)</f>
        <v>-66781</v>
      </c>
      <c r="S171" s="64">
        <f>+M171+VLOOKUP(A171,'Change in Proportion Layers'!$A$8:$Y$324,5,FALSE)+VLOOKUP(A171,'Change in Proportion Layers'!$A$8:$Y$324,12,FALSE)+VLOOKUP(A171,'Change in Proportion Layers'!$A$8:$Y$324,18,FALSE)</f>
        <v>-37372</v>
      </c>
      <c r="T171" s="64">
        <f>+N171+VLOOKUP(A171,'Change in Proportion Layers'!$A$8:$Y$324,6,FALSE)+VLOOKUP(A171,'Change in Proportion Layers'!$A$8:$Y$324,13,FALSE)</f>
        <v>-75259</v>
      </c>
      <c r="U171" s="64">
        <f>+O171+VLOOKUP(A171,'Change in Proportion Layers'!$A$8:$Y$324,7,FALSE)+1</f>
        <v>-28993</v>
      </c>
      <c r="W171" s="64">
        <f>('OPEB Amounts_Report'!H169-'OPEB Amounts_Report'!M169)</f>
        <v>-435170</v>
      </c>
      <c r="X171" s="129">
        <f>SUM(Q171:U171)-('OPEB Amounts_Report'!H171-'OPEB Amounts_Report'!M171)</f>
        <v>0</v>
      </c>
    </row>
    <row r="172" spans="1:24">
      <c r="A172" s="184">
        <v>30089</v>
      </c>
      <c r="B172" s="185" t="s">
        <v>159</v>
      </c>
      <c r="C172" s="63">
        <f t="shared" si="3"/>
        <v>-408861</v>
      </c>
      <c r="D172" s="63">
        <f t="shared" si="3"/>
        <v>-299628</v>
      </c>
      <c r="E172" s="63">
        <f t="shared" si="3"/>
        <v>-196151</v>
      </c>
      <c r="F172" s="63">
        <f t="shared" si="3"/>
        <v>-241751</v>
      </c>
      <c r="G172" s="63">
        <f t="shared" si="3"/>
        <v>-111880</v>
      </c>
      <c r="I172" s="186"/>
      <c r="K172" s="64">
        <f>ROUND(VLOOKUP($A172,'Contribution Allocation_Report'!$A$9:$D$311,4,FALSE)*$K$326,0)</f>
        <v>-413612</v>
      </c>
      <c r="L172" s="64">
        <f>ROUND(VLOOKUP($A172,'Contribution Allocation_Report'!$A$9:$D$311,4,FALSE)*$L$326,0)</f>
        <v>-300553</v>
      </c>
      <c r="M172" s="64">
        <f>ROUND(VLOOKUP($A172,'Contribution Allocation_Report'!$A$9:$D$311,4,FALSE)*$M$326,0)</f>
        <v>-181374</v>
      </c>
      <c r="N172" s="64">
        <f>ROUND(VLOOKUP($A172,'Contribution Allocation_Report'!$A$9:$D$311,4,FALSE)*$N$326,0)</f>
        <v>-273452</v>
      </c>
      <c r="O172" s="64">
        <f>ROUND(VLOOKUP($A172,'Contribution Allocation_Report'!$A$9:$D$311,4,FALSE)*$O$326,0)</f>
        <v>-155777</v>
      </c>
      <c r="Q172" s="64">
        <f>+K172+VLOOKUP(A172,'Change in Proportion Layers'!$A$8:$N$324,3,FALSE)+VLOOKUP(A172,'Change in Proportion Layers'!$A$8:$Y$324,10,FALSE)+VLOOKUP(A172,'Change in Proportion Layers'!$A$8:$Y$324,16,FALSE)+VLOOKUP(A172,'Change in Proportion Layers'!$A$8:$Y$324,21,FALSE)+VLOOKUP(A172,'Change in Proportion Layers'!$A$8:$Y$324,25,FALSE)</f>
        <v>-408861</v>
      </c>
      <c r="R172" s="64">
        <f>+L172+VLOOKUP(A172,'Change in Proportion Layers'!$A$8:$Y$324,4,FALSE)+VLOOKUP(A172,'Change in Proportion Layers'!$A$8:$Y$324,11,FALSE)+VLOOKUP(A172,'Change in Proportion Layers'!$A$8:$Y$324,17,FALSE)+VLOOKUP(A172,'Change in Proportion Layers'!$A$8:$Y$324,22,FALSE)</f>
        <v>-299628</v>
      </c>
      <c r="S172" s="64">
        <f>+M172+VLOOKUP(A172,'Change in Proportion Layers'!$A$8:$Y$324,5,FALSE)+VLOOKUP(A172,'Change in Proportion Layers'!$A$8:$Y$324,12,FALSE)+VLOOKUP(A172,'Change in Proportion Layers'!$A$8:$Y$324,18,FALSE)</f>
        <v>-196151</v>
      </c>
      <c r="T172" s="64">
        <f>+N172+VLOOKUP(A172,'Change in Proportion Layers'!$A$8:$Y$324,6,FALSE)+VLOOKUP(A172,'Change in Proportion Layers'!$A$8:$Y$324,13,FALSE)</f>
        <v>-241751</v>
      </c>
      <c r="U172" s="64">
        <f>+O172+VLOOKUP(A172,'Change in Proportion Layers'!$A$8:$Y$324,7,FALSE)+1</f>
        <v>-111880</v>
      </c>
      <c r="W172" s="64">
        <f>('OPEB Amounts_Report'!H170-'OPEB Amounts_Report'!M170)</f>
        <v>-409717</v>
      </c>
      <c r="X172" s="129">
        <f>SUM(Q172:U172)-('OPEB Amounts_Report'!H172-'OPEB Amounts_Report'!M172)</f>
        <v>0</v>
      </c>
    </row>
    <row r="173" spans="1:24">
      <c r="A173" s="187">
        <v>9324</v>
      </c>
      <c r="B173" s="188" t="s">
        <v>160</v>
      </c>
      <c r="C173" s="5">
        <f t="shared" si="3"/>
        <v>-38002</v>
      </c>
      <c r="D173" s="5">
        <f t="shared" si="3"/>
        <v>-20265</v>
      </c>
      <c r="E173" s="5">
        <f t="shared" si="3"/>
        <v>-12661</v>
      </c>
      <c r="F173" s="5">
        <f t="shared" si="3"/>
        <v>-38507</v>
      </c>
      <c r="G173" s="5">
        <f t="shared" si="3"/>
        <v>-26798</v>
      </c>
      <c r="I173" s="186"/>
      <c r="K173" s="64">
        <f>ROUND(VLOOKUP($A173,'Contribution Allocation_Report'!$A$9:$D$311,4,FALSE)*$K$326,0)</f>
        <v>-49623</v>
      </c>
      <c r="L173" s="64">
        <f>ROUND(VLOOKUP($A173,'Contribution Allocation_Report'!$A$9:$D$311,4,FALSE)*$L$326,0)</f>
        <v>-36059</v>
      </c>
      <c r="M173" s="64">
        <f>ROUND(VLOOKUP($A173,'Contribution Allocation_Report'!$A$9:$D$311,4,FALSE)*$M$326,0)</f>
        <v>-21760</v>
      </c>
      <c r="N173" s="64">
        <f>ROUND(VLOOKUP($A173,'Contribution Allocation_Report'!$A$9:$D$311,4,FALSE)*$N$326,0)</f>
        <v>-32807</v>
      </c>
      <c r="O173" s="64">
        <f>ROUND(VLOOKUP($A173,'Contribution Allocation_Report'!$A$9:$D$311,4,FALSE)*$O$326,0)</f>
        <v>-18689</v>
      </c>
      <c r="Q173" s="64">
        <f>+K173+VLOOKUP(A173,'Change in Proportion Layers'!$A$8:$N$324,3,FALSE)+VLOOKUP(A173,'Change in Proportion Layers'!$A$8:$Y$324,10,FALSE)+VLOOKUP(A173,'Change in Proportion Layers'!$A$8:$Y$324,16,FALSE)+VLOOKUP(A173,'Change in Proportion Layers'!$A$8:$Y$324,21,FALSE)+VLOOKUP(A173,'Change in Proportion Layers'!$A$8:$Y$324,25,FALSE)</f>
        <v>-38002</v>
      </c>
      <c r="R173" s="64">
        <f>+L173+VLOOKUP(A173,'Change in Proportion Layers'!$A$8:$Y$324,4,FALSE)+VLOOKUP(A173,'Change in Proportion Layers'!$A$8:$Y$324,11,FALSE)+VLOOKUP(A173,'Change in Proportion Layers'!$A$8:$Y$324,17,FALSE)+VLOOKUP(A173,'Change in Proportion Layers'!$A$8:$Y$324,22,FALSE)</f>
        <v>-20265</v>
      </c>
      <c r="S173" s="64">
        <f>+M173+VLOOKUP(A173,'Change in Proportion Layers'!$A$8:$Y$324,5,FALSE)+VLOOKUP(A173,'Change in Proportion Layers'!$A$8:$Y$324,12,FALSE)+VLOOKUP(A173,'Change in Proportion Layers'!$A$8:$Y$324,18,FALSE)</f>
        <v>-12661</v>
      </c>
      <c r="T173" s="64">
        <f>+N173+VLOOKUP(A173,'Change in Proportion Layers'!$A$8:$Y$324,6,FALSE)+VLOOKUP(A173,'Change in Proportion Layers'!$A$8:$Y$324,13,FALSE)</f>
        <v>-38507</v>
      </c>
      <c r="U173" s="64">
        <f>+O173+VLOOKUP(A173,'Change in Proportion Layers'!$A$8:$Y$324,7,FALSE)-1</f>
        <v>-26798</v>
      </c>
      <c r="W173" s="64">
        <f>('OPEB Amounts_Report'!H171-'OPEB Amounts_Report'!M171)</f>
        <v>-306657</v>
      </c>
      <c r="X173" s="129">
        <f>SUM(Q173:U173)-('OPEB Amounts_Report'!H173-'OPEB Amounts_Report'!M173)</f>
        <v>0</v>
      </c>
    </row>
    <row r="174" spans="1:24">
      <c r="A174" s="184">
        <v>22066</v>
      </c>
      <c r="B174" s="185" t="s">
        <v>161</v>
      </c>
      <c r="C174" s="63">
        <f t="shared" si="3"/>
        <v>-1511130</v>
      </c>
      <c r="D174" s="63">
        <f t="shared" si="3"/>
        <v>-1033639</v>
      </c>
      <c r="E174" s="63">
        <f t="shared" si="3"/>
        <v>-541783</v>
      </c>
      <c r="F174" s="63">
        <f t="shared" si="3"/>
        <v>-909274</v>
      </c>
      <c r="G174" s="63">
        <f t="shared" si="3"/>
        <v>-582994</v>
      </c>
      <c r="I174" s="186"/>
      <c r="K174" s="64">
        <f>ROUND(VLOOKUP($A174,'Contribution Allocation_Report'!$A$9:$D$311,4,FALSE)*$K$326,0)</f>
        <v>-1449285</v>
      </c>
      <c r="L174" s="64">
        <f>ROUND(VLOOKUP($A174,'Contribution Allocation_Report'!$A$9:$D$311,4,FALSE)*$L$326,0)</f>
        <v>-1053132</v>
      </c>
      <c r="M174" s="64">
        <f>ROUND(VLOOKUP($A174,'Contribution Allocation_Report'!$A$9:$D$311,4,FALSE)*$M$326,0)</f>
        <v>-635529</v>
      </c>
      <c r="N174" s="64">
        <f>ROUND(VLOOKUP($A174,'Contribution Allocation_Report'!$A$9:$D$311,4,FALSE)*$N$326,0)</f>
        <v>-958168</v>
      </c>
      <c r="O174" s="64">
        <f>ROUND(VLOOKUP($A174,'Contribution Allocation_Report'!$A$9:$D$311,4,FALSE)*$O$326,0)</f>
        <v>-545839</v>
      </c>
      <c r="Q174" s="64">
        <f>+K174+VLOOKUP(A174,'Change in Proportion Layers'!$A$8:$N$324,3,FALSE)+VLOOKUP(A174,'Change in Proportion Layers'!$A$8:$Y$324,10,FALSE)+VLOOKUP(A174,'Change in Proportion Layers'!$A$8:$Y$324,16,FALSE)+VLOOKUP(A174,'Change in Proportion Layers'!$A$8:$Y$324,21,FALSE)+VLOOKUP(A174,'Change in Proportion Layers'!$A$8:$Y$324,25,FALSE)</f>
        <v>-1511130</v>
      </c>
      <c r="R174" s="64">
        <f>+L174+VLOOKUP(A174,'Change in Proportion Layers'!$A$8:$Y$324,4,FALSE)+VLOOKUP(A174,'Change in Proportion Layers'!$A$8:$Y$324,11,FALSE)+VLOOKUP(A174,'Change in Proportion Layers'!$A$8:$Y$324,17,FALSE)+VLOOKUP(A174,'Change in Proportion Layers'!$A$8:$Y$324,22,FALSE)</f>
        <v>-1033639</v>
      </c>
      <c r="S174" s="64">
        <f>+M174+VLOOKUP(A174,'Change in Proportion Layers'!$A$8:$Y$324,5,FALSE)+VLOOKUP(A174,'Change in Proportion Layers'!$A$8:$Y$324,12,FALSE)+VLOOKUP(A174,'Change in Proportion Layers'!$A$8:$Y$324,18,FALSE)</f>
        <v>-541783</v>
      </c>
      <c r="T174" s="64">
        <f>+N174+VLOOKUP(A174,'Change in Proportion Layers'!$A$8:$Y$324,6,FALSE)+VLOOKUP(A174,'Change in Proportion Layers'!$A$8:$Y$324,13,FALSE)</f>
        <v>-909274</v>
      </c>
      <c r="U174" s="64">
        <f>+O174+VLOOKUP(A174,'Change in Proportion Layers'!$A$8:$Y$324,7,FALSE)</f>
        <v>-582994</v>
      </c>
      <c r="W174" s="64">
        <f>('OPEB Amounts_Report'!H172-'OPEB Amounts_Report'!M172)</f>
        <v>-1258271</v>
      </c>
      <c r="X174" s="129">
        <f>SUM(Q174:U174)-('OPEB Amounts_Report'!H174-'OPEB Amounts_Report'!M174)</f>
        <v>0</v>
      </c>
    </row>
    <row r="175" spans="1:24">
      <c r="A175" s="187">
        <v>16356</v>
      </c>
      <c r="B175" s="188" t="s">
        <v>162</v>
      </c>
      <c r="C175" s="5">
        <f t="shared" si="3"/>
        <v>-81564</v>
      </c>
      <c r="D175" s="5">
        <f t="shared" si="3"/>
        <v>-58387</v>
      </c>
      <c r="E175" s="5">
        <f t="shared" si="3"/>
        <v>-24957</v>
      </c>
      <c r="F175" s="5">
        <f t="shared" si="3"/>
        <v>-51685</v>
      </c>
      <c r="G175" s="5">
        <f t="shared" si="3"/>
        <v>-37067</v>
      </c>
      <c r="I175" s="186"/>
      <c r="K175" s="64">
        <f>ROUND(VLOOKUP($A175,'Contribution Allocation_Report'!$A$9:$D$311,4,FALSE)*$K$326,0)</f>
        <v>-89557</v>
      </c>
      <c r="L175" s="64">
        <f>ROUND(VLOOKUP($A175,'Contribution Allocation_Report'!$A$9:$D$311,4,FALSE)*$L$326,0)</f>
        <v>-65077</v>
      </c>
      <c r="M175" s="64">
        <f>ROUND(VLOOKUP($A175,'Contribution Allocation_Report'!$A$9:$D$311,4,FALSE)*$M$326,0)</f>
        <v>-39272</v>
      </c>
      <c r="N175" s="64">
        <f>ROUND(VLOOKUP($A175,'Contribution Allocation_Report'!$A$9:$D$311,4,FALSE)*$N$326,0)</f>
        <v>-59209</v>
      </c>
      <c r="O175" s="64">
        <f>ROUND(VLOOKUP($A175,'Contribution Allocation_Report'!$A$9:$D$311,4,FALSE)*$O$326,0)</f>
        <v>-33729</v>
      </c>
      <c r="Q175" s="64">
        <f>+K175+VLOOKUP(A175,'Change in Proportion Layers'!$A$8:$N$324,3,FALSE)+VLOOKUP(A175,'Change in Proportion Layers'!$A$8:$Y$324,10,FALSE)+VLOOKUP(A175,'Change in Proportion Layers'!$A$8:$Y$324,16,FALSE)+VLOOKUP(A175,'Change in Proportion Layers'!$A$8:$Y$324,21,FALSE)+VLOOKUP(A175,'Change in Proportion Layers'!$A$8:$Y$324,25,FALSE)</f>
        <v>-81564</v>
      </c>
      <c r="R175" s="64">
        <f>+L175+VLOOKUP(A175,'Change in Proportion Layers'!$A$8:$Y$324,4,FALSE)+VLOOKUP(A175,'Change in Proportion Layers'!$A$8:$Y$324,11,FALSE)+VLOOKUP(A175,'Change in Proportion Layers'!$A$8:$Y$324,17,FALSE)+VLOOKUP(A175,'Change in Proportion Layers'!$A$8:$Y$324,22,FALSE)</f>
        <v>-58387</v>
      </c>
      <c r="S175" s="64">
        <f>+M175+VLOOKUP(A175,'Change in Proportion Layers'!$A$8:$Y$324,5,FALSE)+VLOOKUP(A175,'Change in Proportion Layers'!$A$8:$Y$324,12,FALSE)+VLOOKUP(A175,'Change in Proportion Layers'!$A$8:$Y$324,18,FALSE)</f>
        <v>-24957</v>
      </c>
      <c r="T175" s="64">
        <f>+N175+VLOOKUP(A175,'Change in Proportion Layers'!$A$8:$Y$324,6,FALSE)+VLOOKUP(A175,'Change in Proportion Layers'!$A$8:$Y$324,13,FALSE)</f>
        <v>-51685</v>
      </c>
      <c r="U175" s="64">
        <f>+O175+VLOOKUP(A175,'Change in Proportion Layers'!$A$8:$Y$324,7,FALSE)</f>
        <v>-37067</v>
      </c>
      <c r="W175" s="64">
        <f>('OPEB Amounts_Report'!H173-'OPEB Amounts_Report'!M173)</f>
        <v>-136233</v>
      </c>
      <c r="X175" s="129">
        <f>SUM(Q175:U175)-('OPEB Amounts_Report'!H175-'OPEB Amounts_Report'!M175)</f>
        <v>0</v>
      </c>
    </row>
    <row r="176" spans="1:24">
      <c r="A176" s="184">
        <v>31091</v>
      </c>
      <c r="B176" s="185" t="s">
        <v>163</v>
      </c>
      <c r="C176" s="63">
        <f t="shared" si="3"/>
        <v>-70913</v>
      </c>
      <c r="D176" s="63">
        <f t="shared" si="3"/>
        <v>-38479</v>
      </c>
      <c r="E176" s="63">
        <f t="shared" si="3"/>
        <v>-22119</v>
      </c>
      <c r="F176" s="63">
        <f t="shared" si="3"/>
        <v>-29294</v>
      </c>
      <c r="G176" s="63">
        <f t="shared" si="3"/>
        <v>-36291</v>
      </c>
      <c r="I176" s="186"/>
      <c r="K176" s="64">
        <f>ROUND(VLOOKUP($A176,'Contribution Allocation_Report'!$A$9:$D$311,4,FALSE)*$K$326,0)</f>
        <v>-84148</v>
      </c>
      <c r="L176" s="64">
        <f>ROUND(VLOOKUP($A176,'Contribution Allocation_Report'!$A$9:$D$311,4,FALSE)*$L$326,0)</f>
        <v>-61147</v>
      </c>
      <c r="M176" s="64">
        <f>ROUND(VLOOKUP($A176,'Contribution Allocation_Report'!$A$9:$D$311,4,FALSE)*$M$326,0)</f>
        <v>-36900</v>
      </c>
      <c r="N176" s="64">
        <f>ROUND(VLOOKUP($A176,'Contribution Allocation_Report'!$A$9:$D$311,4,FALSE)*$N$326,0)</f>
        <v>-55633</v>
      </c>
      <c r="O176" s="64">
        <f>ROUND(VLOOKUP($A176,'Contribution Allocation_Report'!$A$9:$D$311,4,FALSE)*$O$326,0)</f>
        <v>-31692</v>
      </c>
      <c r="Q176" s="64">
        <f>+K176+VLOOKUP(A176,'Change in Proportion Layers'!$A$8:$N$324,3,FALSE)+VLOOKUP(A176,'Change in Proportion Layers'!$A$8:$Y$324,10,FALSE)+VLOOKUP(A176,'Change in Proportion Layers'!$A$8:$Y$324,16,FALSE)+VLOOKUP(A176,'Change in Proportion Layers'!$A$8:$Y$324,21,FALSE)+VLOOKUP(A176,'Change in Proportion Layers'!$A$8:$Y$324,25,FALSE)</f>
        <v>-70913</v>
      </c>
      <c r="R176" s="64">
        <f>+L176+VLOOKUP(A176,'Change in Proportion Layers'!$A$8:$Y$324,4,FALSE)+VLOOKUP(A176,'Change in Proportion Layers'!$A$8:$Y$324,11,FALSE)+VLOOKUP(A176,'Change in Proportion Layers'!$A$8:$Y$324,17,FALSE)+VLOOKUP(A176,'Change in Proportion Layers'!$A$8:$Y$324,22,FALSE)</f>
        <v>-38479</v>
      </c>
      <c r="S176" s="64">
        <f>+M176+VLOOKUP(A176,'Change in Proportion Layers'!$A$8:$Y$324,5,FALSE)+VLOOKUP(A176,'Change in Proportion Layers'!$A$8:$Y$324,12,FALSE)+VLOOKUP(A176,'Change in Proportion Layers'!$A$8:$Y$324,18,FALSE)</f>
        <v>-22119</v>
      </c>
      <c r="T176" s="64">
        <f>+N176+VLOOKUP(A176,'Change in Proportion Layers'!$A$8:$Y$324,6,FALSE)+VLOOKUP(A176,'Change in Proportion Layers'!$A$8:$Y$324,13,FALSE)</f>
        <v>-29294</v>
      </c>
      <c r="U176" s="64">
        <f>+O176+VLOOKUP(A176,'Change in Proportion Layers'!$A$8:$Y$324,7,FALSE)</f>
        <v>-36291</v>
      </c>
      <c r="W176" s="64">
        <f>('OPEB Amounts_Report'!H174-'OPEB Amounts_Report'!M174)</f>
        <v>-4578820</v>
      </c>
      <c r="X176" s="129">
        <f>SUM(Q176:U176)-('OPEB Amounts_Report'!H176-'OPEB Amounts_Report'!M176)</f>
        <v>0</v>
      </c>
    </row>
    <row r="177" spans="1:24">
      <c r="A177" s="187">
        <v>2342</v>
      </c>
      <c r="B177" s="188" t="s">
        <v>164</v>
      </c>
      <c r="C177" s="5">
        <f t="shared" si="3"/>
        <v>-85546</v>
      </c>
      <c r="D177" s="5">
        <f t="shared" si="3"/>
        <v>-46033</v>
      </c>
      <c r="E177" s="5">
        <f t="shared" si="3"/>
        <v>-3931</v>
      </c>
      <c r="F177" s="5">
        <f t="shared" si="3"/>
        <v>-46858</v>
      </c>
      <c r="G177" s="5">
        <f t="shared" si="3"/>
        <v>-41257</v>
      </c>
      <c r="I177" s="186"/>
      <c r="K177" s="64">
        <f>ROUND(VLOOKUP($A177,'Contribution Allocation_Report'!$A$9:$D$311,4,FALSE)*$K$326,0)</f>
        <v>-149547</v>
      </c>
      <c r="L177" s="64">
        <f>ROUND(VLOOKUP($A177,'Contribution Allocation_Report'!$A$9:$D$311,4,FALSE)*$L$326,0)</f>
        <v>-108669</v>
      </c>
      <c r="M177" s="64">
        <f>ROUND(VLOOKUP($A177,'Contribution Allocation_Report'!$A$9:$D$311,4,FALSE)*$M$326,0)</f>
        <v>-65578</v>
      </c>
      <c r="N177" s="64">
        <f>ROUND(VLOOKUP($A177,'Contribution Allocation_Report'!$A$9:$D$311,4,FALSE)*$N$326,0)</f>
        <v>-98870</v>
      </c>
      <c r="O177" s="64">
        <f>ROUND(VLOOKUP($A177,'Contribution Allocation_Report'!$A$9:$D$311,4,FALSE)*$O$326,0)</f>
        <v>-56323</v>
      </c>
      <c r="Q177" s="64">
        <f>+K177+VLOOKUP(A177,'Change in Proportion Layers'!$A$8:$N$324,3,FALSE)+VLOOKUP(A177,'Change in Proportion Layers'!$A$8:$Y$324,10,FALSE)+VLOOKUP(A177,'Change in Proportion Layers'!$A$8:$Y$324,16,FALSE)+VLOOKUP(A177,'Change in Proportion Layers'!$A$8:$Y$324,21,FALSE)+VLOOKUP(A177,'Change in Proportion Layers'!$A$8:$Y$324,25,FALSE)</f>
        <v>-85546</v>
      </c>
      <c r="R177" s="64">
        <f>+L177+VLOOKUP(A177,'Change in Proportion Layers'!$A$8:$Y$324,4,FALSE)+VLOOKUP(A177,'Change in Proportion Layers'!$A$8:$Y$324,11,FALSE)+VLOOKUP(A177,'Change in Proportion Layers'!$A$8:$Y$324,17,FALSE)+VLOOKUP(A177,'Change in Proportion Layers'!$A$8:$Y$324,22,FALSE)</f>
        <v>-46033</v>
      </c>
      <c r="S177" s="64">
        <f>+M177+VLOOKUP(A177,'Change in Proportion Layers'!$A$8:$Y$324,5,FALSE)+VLOOKUP(A177,'Change in Proportion Layers'!$A$8:$Y$324,12,FALSE)+VLOOKUP(A177,'Change in Proportion Layers'!$A$8:$Y$324,18,FALSE)</f>
        <v>-3931</v>
      </c>
      <c r="T177" s="64">
        <f>+N177+VLOOKUP(A177,'Change in Proportion Layers'!$A$8:$Y$324,6,FALSE)+VLOOKUP(A177,'Change in Proportion Layers'!$A$8:$Y$324,13,FALSE)</f>
        <v>-46858</v>
      </c>
      <c r="U177" s="64">
        <f>+O177+VLOOKUP(A177,'Change in Proportion Layers'!$A$8:$Y$324,7,FALSE)-1</f>
        <v>-41257</v>
      </c>
      <c r="W177" s="64">
        <f>('OPEB Amounts_Report'!H175-'OPEB Amounts_Report'!M175)</f>
        <v>-253660</v>
      </c>
      <c r="X177" s="129">
        <f>SUM(Q177:U177)-('OPEB Amounts_Report'!H177-'OPEB Amounts_Report'!M177)</f>
        <v>0</v>
      </c>
    </row>
    <row r="178" spans="1:24">
      <c r="A178" s="184">
        <v>22067</v>
      </c>
      <c r="B178" s="185" t="s">
        <v>165</v>
      </c>
      <c r="C178" s="63">
        <f t="shared" si="3"/>
        <v>-187648</v>
      </c>
      <c r="D178" s="63">
        <f t="shared" si="3"/>
        <v>-122015</v>
      </c>
      <c r="E178" s="63">
        <f t="shared" si="3"/>
        <v>-30907</v>
      </c>
      <c r="F178" s="63">
        <f t="shared" si="3"/>
        <v>-170417</v>
      </c>
      <c r="G178" s="63">
        <f t="shared" si="3"/>
        <v>-66426</v>
      </c>
      <c r="I178" s="186"/>
      <c r="K178" s="64">
        <f>ROUND(VLOOKUP($A178,'Contribution Allocation_Report'!$A$9:$D$311,4,FALSE)*$K$326,0)</f>
        <v>-216056</v>
      </c>
      <c r="L178" s="64">
        <f>ROUND(VLOOKUP($A178,'Contribution Allocation_Report'!$A$9:$D$311,4,FALSE)*$L$326,0)</f>
        <v>-156999</v>
      </c>
      <c r="M178" s="64">
        <f>ROUND(VLOOKUP($A178,'Contribution Allocation_Report'!$A$9:$D$311,4,FALSE)*$M$326,0)</f>
        <v>-94743</v>
      </c>
      <c r="N178" s="64">
        <f>ROUND(VLOOKUP($A178,'Contribution Allocation_Report'!$A$9:$D$311,4,FALSE)*$N$326,0)</f>
        <v>-142842</v>
      </c>
      <c r="O178" s="64">
        <f>ROUND(VLOOKUP($A178,'Contribution Allocation_Report'!$A$9:$D$311,4,FALSE)*$O$326,0)</f>
        <v>-81373</v>
      </c>
      <c r="Q178" s="64">
        <f>+K178+VLOOKUP(A178,'Change in Proportion Layers'!$A$8:$N$324,3,FALSE)+VLOOKUP(A178,'Change in Proportion Layers'!$A$8:$Y$324,10,FALSE)+VLOOKUP(A178,'Change in Proportion Layers'!$A$8:$Y$324,16,FALSE)+VLOOKUP(A178,'Change in Proportion Layers'!$A$8:$Y$324,21,FALSE)+VLOOKUP(A178,'Change in Proportion Layers'!$A$8:$Y$324,25,FALSE)</f>
        <v>-187648</v>
      </c>
      <c r="R178" s="64">
        <f>+L178+VLOOKUP(A178,'Change in Proportion Layers'!$A$8:$Y$324,4,FALSE)+VLOOKUP(A178,'Change in Proportion Layers'!$A$8:$Y$324,11,FALSE)+VLOOKUP(A178,'Change in Proportion Layers'!$A$8:$Y$324,17,FALSE)+VLOOKUP(A178,'Change in Proportion Layers'!$A$8:$Y$324,22,FALSE)</f>
        <v>-122015</v>
      </c>
      <c r="S178" s="64">
        <f>+M178+VLOOKUP(A178,'Change in Proportion Layers'!$A$8:$Y$324,5,FALSE)+VLOOKUP(A178,'Change in Proportion Layers'!$A$8:$Y$324,12,FALSE)+VLOOKUP(A178,'Change in Proportion Layers'!$A$8:$Y$324,18,FALSE)</f>
        <v>-30907</v>
      </c>
      <c r="T178" s="64">
        <f>+N178+VLOOKUP(A178,'Change in Proportion Layers'!$A$8:$Y$324,6,FALSE)+VLOOKUP(A178,'Change in Proportion Layers'!$A$8:$Y$324,13,FALSE)</f>
        <v>-170417</v>
      </c>
      <c r="U178" s="64">
        <f>+O178+VLOOKUP(A178,'Change in Proportion Layers'!$A$8:$Y$324,7,FALSE)+2</f>
        <v>-66426</v>
      </c>
      <c r="W178" s="64">
        <f>('OPEB Amounts_Report'!H176-'OPEB Amounts_Report'!M176)</f>
        <v>-197096</v>
      </c>
      <c r="X178" s="129">
        <f>SUM(Q178:U178)-('OPEB Amounts_Report'!H178-'OPEB Amounts_Report'!M178)</f>
        <v>0</v>
      </c>
    </row>
    <row r="179" spans="1:24">
      <c r="A179" s="187">
        <v>32112</v>
      </c>
      <c r="B179" s="188" t="s">
        <v>166</v>
      </c>
      <c r="C179" s="5">
        <f t="shared" si="3"/>
        <v>-140020</v>
      </c>
      <c r="D179" s="5">
        <f t="shared" si="3"/>
        <v>-96892</v>
      </c>
      <c r="E179" s="5">
        <f t="shared" si="3"/>
        <v>-61490</v>
      </c>
      <c r="F179" s="5">
        <f t="shared" si="3"/>
        <v>-77227</v>
      </c>
      <c r="G179" s="5">
        <f t="shared" si="3"/>
        <v>-53561</v>
      </c>
      <c r="I179" s="186"/>
      <c r="K179" s="64">
        <f>ROUND(VLOOKUP($A179,'Contribution Allocation_Report'!$A$9:$D$311,4,FALSE)*$K$326,0)</f>
        <v>-113976</v>
      </c>
      <c r="L179" s="64">
        <f>ROUND(VLOOKUP($A179,'Contribution Allocation_Report'!$A$9:$D$311,4,FALSE)*$L$326,0)</f>
        <v>-82821</v>
      </c>
      <c r="M179" s="64">
        <f>ROUND(VLOOKUP($A179,'Contribution Allocation_Report'!$A$9:$D$311,4,FALSE)*$M$326,0)</f>
        <v>-49980</v>
      </c>
      <c r="N179" s="64">
        <f>ROUND(VLOOKUP($A179,'Contribution Allocation_Report'!$A$9:$D$311,4,FALSE)*$N$326,0)</f>
        <v>-75353</v>
      </c>
      <c r="O179" s="64">
        <f>ROUND(VLOOKUP($A179,'Contribution Allocation_Report'!$A$9:$D$311,4,FALSE)*$O$326,0)</f>
        <v>-42926</v>
      </c>
      <c r="Q179" s="64">
        <f>+K179+VLOOKUP(A179,'Change in Proportion Layers'!$A$8:$N$324,3,FALSE)+VLOOKUP(A179,'Change in Proportion Layers'!$A$8:$Y$324,10,FALSE)+VLOOKUP(A179,'Change in Proportion Layers'!$A$8:$Y$324,16,FALSE)+VLOOKUP(A179,'Change in Proportion Layers'!$A$8:$Y$324,21,FALSE)+VLOOKUP(A179,'Change in Proportion Layers'!$A$8:$Y$324,25,FALSE)</f>
        <v>-140020</v>
      </c>
      <c r="R179" s="64">
        <f>+L179+VLOOKUP(A179,'Change in Proportion Layers'!$A$8:$Y$324,4,FALSE)+VLOOKUP(A179,'Change in Proportion Layers'!$A$8:$Y$324,11,FALSE)+VLOOKUP(A179,'Change in Proportion Layers'!$A$8:$Y$324,17,FALSE)+VLOOKUP(A179,'Change in Proportion Layers'!$A$8:$Y$324,22,FALSE)</f>
        <v>-96892</v>
      </c>
      <c r="S179" s="64">
        <f>+M179+VLOOKUP(A179,'Change in Proportion Layers'!$A$8:$Y$324,5,FALSE)+VLOOKUP(A179,'Change in Proportion Layers'!$A$8:$Y$324,12,FALSE)+VLOOKUP(A179,'Change in Proportion Layers'!$A$8:$Y$324,18,FALSE)</f>
        <v>-61490</v>
      </c>
      <c r="T179" s="64">
        <f>+N179+VLOOKUP(A179,'Change in Proportion Layers'!$A$8:$Y$324,6,FALSE)+VLOOKUP(A179,'Change in Proportion Layers'!$A$8:$Y$324,13,FALSE)</f>
        <v>-77227</v>
      </c>
      <c r="U179" s="64">
        <f>+O179+VLOOKUP(A179,'Change in Proportion Layers'!$A$8:$Y$324,7,FALSE)</f>
        <v>-53561</v>
      </c>
      <c r="W179" s="64">
        <f>('OPEB Amounts_Report'!H177-'OPEB Amounts_Report'!M177)</f>
        <v>-223625</v>
      </c>
      <c r="X179" s="129">
        <f>SUM(Q179:U179)-('OPEB Amounts_Report'!H179-'OPEB Amounts_Report'!M179)</f>
        <v>0</v>
      </c>
    </row>
    <row r="180" spans="1:24">
      <c r="A180" s="184">
        <v>2354</v>
      </c>
      <c r="B180" s="185" t="s">
        <v>167</v>
      </c>
      <c r="C180" s="63">
        <f t="shared" si="3"/>
        <v>-262276</v>
      </c>
      <c r="D180" s="63">
        <f t="shared" si="3"/>
        <v>-189207</v>
      </c>
      <c r="E180" s="63">
        <f t="shared" si="3"/>
        <v>-90840</v>
      </c>
      <c r="F180" s="63">
        <f t="shared" si="3"/>
        <v>-166723</v>
      </c>
      <c r="G180" s="63">
        <f t="shared" si="3"/>
        <v>-69279</v>
      </c>
      <c r="I180" s="186"/>
      <c r="K180" s="64">
        <f>ROUND(VLOOKUP($A180,'Contribution Allocation_Report'!$A$9:$D$311,4,FALSE)*$K$326,0)</f>
        <v>-364503</v>
      </c>
      <c r="L180" s="64">
        <f>ROUND(VLOOKUP($A180,'Contribution Allocation_Report'!$A$9:$D$311,4,FALSE)*$L$326,0)</f>
        <v>-264868</v>
      </c>
      <c r="M180" s="64">
        <f>ROUND(VLOOKUP($A180,'Contribution Allocation_Report'!$A$9:$D$311,4,FALSE)*$M$326,0)</f>
        <v>-159839</v>
      </c>
      <c r="N180" s="64">
        <f>ROUND(VLOOKUP($A180,'Contribution Allocation_Report'!$A$9:$D$311,4,FALSE)*$N$326,0)</f>
        <v>-240984</v>
      </c>
      <c r="O180" s="64">
        <f>ROUND(VLOOKUP($A180,'Contribution Allocation_Report'!$A$9:$D$311,4,FALSE)*$O$326,0)</f>
        <v>-137281</v>
      </c>
      <c r="Q180" s="64">
        <f>+K180+VLOOKUP(A180,'Change in Proportion Layers'!$A$8:$N$324,3,FALSE)+VLOOKUP(A180,'Change in Proportion Layers'!$A$8:$Y$324,10,FALSE)+VLOOKUP(A180,'Change in Proportion Layers'!$A$8:$Y$324,16,FALSE)+VLOOKUP(A180,'Change in Proportion Layers'!$A$8:$Y$324,21,FALSE)+VLOOKUP(A180,'Change in Proportion Layers'!$A$8:$Y$324,25,FALSE)</f>
        <v>-262276</v>
      </c>
      <c r="R180" s="64">
        <f>+L180+VLOOKUP(A180,'Change in Proportion Layers'!$A$8:$Y$324,4,FALSE)+VLOOKUP(A180,'Change in Proportion Layers'!$A$8:$Y$324,11,FALSE)+VLOOKUP(A180,'Change in Proportion Layers'!$A$8:$Y$324,17,FALSE)+VLOOKUP(A180,'Change in Proportion Layers'!$A$8:$Y$324,22,FALSE)</f>
        <v>-189207</v>
      </c>
      <c r="S180" s="64">
        <f>+M180+VLOOKUP(A180,'Change in Proportion Layers'!$A$8:$Y$324,5,FALSE)+VLOOKUP(A180,'Change in Proportion Layers'!$A$8:$Y$324,12,FALSE)+VLOOKUP(A180,'Change in Proportion Layers'!$A$8:$Y$324,18,FALSE)</f>
        <v>-90840</v>
      </c>
      <c r="T180" s="64">
        <f>+N180+VLOOKUP(A180,'Change in Proportion Layers'!$A$8:$Y$324,6,FALSE)+VLOOKUP(A180,'Change in Proportion Layers'!$A$8:$Y$324,13,FALSE)</f>
        <v>-166723</v>
      </c>
      <c r="U180" s="64">
        <f>+O180+VLOOKUP(A180,'Change in Proportion Layers'!$A$8:$Y$324,7,FALSE)+1</f>
        <v>-69279</v>
      </c>
      <c r="W180" s="64">
        <f>('OPEB Amounts_Report'!H178-'OPEB Amounts_Report'!M178)</f>
        <v>-577413</v>
      </c>
      <c r="X180" s="129">
        <f>SUM(Q180:U180)-('OPEB Amounts_Report'!H180-'OPEB Amounts_Report'!M180)</f>
        <v>0</v>
      </c>
    </row>
    <row r="181" spans="1:24">
      <c r="A181" s="187">
        <v>2148</v>
      </c>
      <c r="B181" s="188" t="s">
        <v>168</v>
      </c>
      <c r="C181" s="5">
        <f t="shared" si="3"/>
        <v>-125785</v>
      </c>
      <c r="D181" s="5">
        <f t="shared" si="3"/>
        <v>-91990</v>
      </c>
      <c r="E181" s="5">
        <f t="shared" si="3"/>
        <v>-64046</v>
      </c>
      <c r="F181" s="5">
        <f t="shared" si="3"/>
        <v>-78046</v>
      </c>
      <c r="G181" s="5">
        <f t="shared" si="3"/>
        <v>-46153</v>
      </c>
      <c r="I181" s="186"/>
      <c r="K181" s="64">
        <f>ROUND(VLOOKUP($A181,'Contribution Allocation_Report'!$A$9:$D$311,4,FALSE)*$K$326,0)</f>
        <v>-109393</v>
      </c>
      <c r="L181" s="64">
        <f>ROUND(VLOOKUP($A181,'Contribution Allocation_Report'!$A$9:$D$311,4,FALSE)*$L$326,0)</f>
        <v>-79491</v>
      </c>
      <c r="M181" s="64">
        <f>ROUND(VLOOKUP($A181,'Contribution Allocation_Report'!$A$9:$D$311,4,FALSE)*$M$326,0)</f>
        <v>-47970</v>
      </c>
      <c r="N181" s="64">
        <f>ROUND(VLOOKUP($A181,'Contribution Allocation_Report'!$A$9:$D$311,4,FALSE)*$N$326,0)</f>
        <v>-72323</v>
      </c>
      <c r="O181" s="64">
        <f>ROUND(VLOOKUP($A181,'Contribution Allocation_Report'!$A$9:$D$311,4,FALSE)*$O$326,0)</f>
        <v>-41200</v>
      </c>
      <c r="Q181" s="64">
        <f>+K181+VLOOKUP(A181,'Change in Proportion Layers'!$A$8:$N$324,3,FALSE)+VLOOKUP(A181,'Change in Proportion Layers'!$A$8:$Y$324,10,FALSE)+VLOOKUP(A181,'Change in Proportion Layers'!$A$8:$Y$324,16,FALSE)+VLOOKUP(A181,'Change in Proportion Layers'!$A$8:$Y$324,21,FALSE)+VLOOKUP(A181,'Change in Proportion Layers'!$A$8:$Y$324,25,FALSE)</f>
        <v>-125785</v>
      </c>
      <c r="R181" s="64">
        <f>+L181+VLOOKUP(A181,'Change in Proportion Layers'!$A$8:$Y$324,4,FALSE)+VLOOKUP(A181,'Change in Proportion Layers'!$A$8:$Y$324,11,FALSE)+VLOOKUP(A181,'Change in Proportion Layers'!$A$8:$Y$324,17,FALSE)+VLOOKUP(A181,'Change in Proportion Layers'!$A$8:$Y$324,22,FALSE)</f>
        <v>-91990</v>
      </c>
      <c r="S181" s="64">
        <f>+M181+VLOOKUP(A181,'Change in Proportion Layers'!$A$8:$Y$324,5,FALSE)+VLOOKUP(A181,'Change in Proportion Layers'!$A$8:$Y$324,12,FALSE)+VLOOKUP(A181,'Change in Proportion Layers'!$A$8:$Y$324,18,FALSE)</f>
        <v>-64046</v>
      </c>
      <c r="T181" s="64">
        <f>+N181+VLOOKUP(A181,'Change in Proportion Layers'!$A$8:$Y$324,6,FALSE)+VLOOKUP(A181,'Change in Proportion Layers'!$A$8:$Y$324,13,FALSE)</f>
        <v>-78046</v>
      </c>
      <c r="U181" s="64">
        <f>+O181+VLOOKUP(A181,'Change in Proportion Layers'!$A$8:$Y$324,7,FALSE)-1</f>
        <v>-46153</v>
      </c>
      <c r="W181" s="64">
        <f>('OPEB Amounts_Report'!H179-'OPEB Amounts_Report'!M179)</f>
        <v>-429190</v>
      </c>
      <c r="X181" s="129">
        <f>SUM(Q181:U181)-('OPEB Amounts_Report'!H181-'OPEB Amounts_Report'!M181)</f>
        <v>0</v>
      </c>
    </row>
    <row r="182" spans="1:24">
      <c r="A182" s="184">
        <v>1418</v>
      </c>
      <c r="B182" s="185" t="s">
        <v>169</v>
      </c>
      <c r="C182" s="63">
        <f t="shared" si="3"/>
        <v>-225471</v>
      </c>
      <c r="D182" s="63">
        <f t="shared" si="3"/>
        <v>-109099</v>
      </c>
      <c r="E182" s="63">
        <f t="shared" si="3"/>
        <v>157564</v>
      </c>
      <c r="F182" s="63">
        <f t="shared" si="3"/>
        <v>-61736</v>
      </c>
      <c r="G182" s="63">
        <f t="shared" si="3"/>
        <v>-141388</v>
      </c>
      <c r="I182" s="186"/>
      <c r="K182" s="64">
        <f>ROUND(VLOOKUP($A182,'Contribution Allocation_Report'!$A$9:$D$311,4,FALSE)*$K$326,0)</f>
        <v>-457037</v>
      </c>
      <c r="L182" s="64">
        <f>ROUND(VLOOKUP($A182,'Contribution Allocation_Report'!$A$9:$D$311,4,FALSE)*$L$326,0)</f>
        <v>-332109</v>
      </c>
      <c r="M182" s="64">
        <f>ROUND(VLOOKUP($A182,'Contribution Allocation_Report'!$A$9:$D$311,4,FALSE)*$M$326,0)</f>
        <v>-200416</v>
      </c>
      <c r="N182" s="64">
        <f>ROUND(VLOOKUP($A182,'Contribution Allocation_Report'!$A$9:$D$311,4,FALSE)*$N$326,0)</f>
        <v>-302161</v>
      </c>
      <c r="O182" s="64">
        <f>ROUND(VLOOKUP($A182,'Contribution Allocation_Report'!$A$9:$D$311,4,FALSE)*$O$326,0)</f>
        <v>-172132</v>
      </c>
      <c r="Q182" s="64">
        <f>+K182+VLOOKUP(A182,'Change in Proportion Layers'!$A$8:$N$324,3,FALSE)+VLOOKUP(A182,'Change in Proportion Layers'!$A$8:$Y$324,10,FALSE)+VLOOKUP(A182,'Change in Proportion Layers'!$A$8:$Y$324,16,FALSE)+VLOOKUP(A182,'Change in Proportion Layers'!$A$8:$Y$324,21,FALSE)+VLOOKUP(A182,'Change in Proportion Layers'!$A$8:$Y$324,25,FALSE)</f>
        <v>-225471</v>
      </c>
      <c r="R182" s="64">
        <f>+L182+VLOOKUP(A182,'Change in Proportion Layers'!$A$8:$Y$324,4,FALSE)+VLOOKUP(A182,'Change in Proportion Layers'!$A$8:$Y$324,11,FALSE)+VLOOKUP(A182,'Change in Proportion Layers'!$A$8:$Y$324,17,FALSE)+VLOOKUP(A182,'Change in Proportion Layers'!$A$8:$Y$324,22,FALSE)</f>
        <v>-109099</v>
      </c>
      <c r="S182" s="64">
        <f>+M182+VLOOKUP(A182,'Change in Proportion Layers'!$A$8:$Y$324,5,FALSE)+VLOOKUP(A182,'Change in Proportion Layers'!$A$8:$Y$324,12,FALSE)+VLOOKUP(A182,'Change in Proportion Layers'!$A$8:$Y$324,18,FALSE)</f>
        <v>157564</v>
      </c>
      <c r="T182" s="64">
        <f>+N182+VLOOKUP(A182,'Change in Proportion Layers'!$A$8:$Y$324,6,FALSE)+VLOOKUP(A182,'Change in Proportion Layers'!$A$8:$Y$324,13,FALSE)</f>
        <v>-61736</v>
      </c>
      <c r="U182" s="64">
        <f>+O182+VLOOKUP(A182,'Change in Proportion Layers'!$A$8:$Y$324,7,FALSE)+2</f>
        <v>-141388</v>
      </c>
      <c r="W182" s="64">
        <f>('OPEB Amounts_Report'!H180-'OPEB Amounts_Report'!M180)</f>
        <v>-778325</v>
      </c>
      <c r="X182" s="129">
        <f>SUM(Q182:U182)-('OPEB Amounts_Report'!H182-'OPEB Amounts_Report'!M182)</f>
        <v>0</v>
      </c>
    </row>
    <row r="183" spans="1:24">
      <c r="A183" s="187">
        <v>12102</v>
      </c>
      <c r="B183" s="188" t="s">
        <v>170</v>
      </c>
      <c r="C183" s="5">
        <f t="shared" si="3"/>
        <v>-2749150</v>
      </c>
      <c r="D183" s="5">
        <f t="shared" si="3"/>
        <v>-1792369</v>
      </c>
      <c r="E183" s="5">
        <f t="shared" si="3"/>
        <v>-963910</v>
      </c>
      <c r="F183" s="5">
        <f t="shared" si="3"/>
        <v>-1242059</v>
      </c>
      <c r="G183" s="5">
        <f t="shared" si="3"/>
        <v>-828164</v>
      </c>
      <c r="I183" s="186"/>
      <c r="K183" s="64">
        <f>ROUND(VLOOKUP($A183,'Contribution Allocation_Report'!$A$9:$D$311,4,FALSE)*$K$326,0)</f>
        <v>-2564372</v>
      </c>
      <c r="L183" s="64">
        <f>ROUND(VLOOKUP($A183,'Contribution Allocation_Report'!$A$9:$D$311,4,FALSE)*$L$326,0)</f>
        <v>-1863417</v>
      </c>
      <c r="M183" s="64">
        <f>ROUND(VLOOKUP($A183,'Contribution Allocation_Report'!$A$9:$D$311,4,FALSE)*$M$326,0)</f>
        <v>-1124508</v>
      </c>
      <c r="N183" s="64">
        <f>ROUND(VLOOKUP($A183,'Contribution Allocation_Report'!$A$9:$D$311,4,FALSE)*$N$326,0)</f>
        <v>-1695387</v>
      </c>
      <c r="O183" s="64">
        <f>ROUND(VLOOKUP($A183,'Contribution Allocation_Report'!$A$9:$D$311,4,FALSE)*$O$326,0)</f>
        <v>-965810</v>
      </c>
      <c r="Q183" s="64">
        <f>+K183+VLOOKUP(A183,'Change in Proportion Layers'!$A$8:$N$324,3,FALSE)+VLOOKUP(A183,'Change in Proportion Layers'!$A$8:$Y$324,10,FALSE)+VLOOKUP(A183,'Change in Proportion Layers'!$A$8:$Y$324,16,FALSE)+VLOOKUP(A183,'Change in Proportion Layers'!$A$8:$Y$324,21,FALSE)+VLOOKUP(A183,'Change in Proportion Layers'!$A$8:$Y$324,25,FALSE)</f>
        <v>-2749150</v>
      </c>
      <c r="R183" s="64">
        <f>+L183+VLOOKUP(A183,'Change in Proportion Layers'!$A$8:$Y$324,4,FALSE)+VLOOKUP(A183,'Change in Proportion Layers'!$A$8:$Y$324,11,FALSE)+VLOOKUP(A183,'Change in Proportion Layers'!$A$8:$Y$324,17,FALSE)+VLOOKUP(A183,'Change in Proportion Layers'!$A$8:$Y$324,22,FALSE)</f>
        <v>-1792369</v>
      </c>
      <c r="S183" s="64">
        <f>+M183+VLOOKUP(A183,'Change in Proportion Layers'!$A$8:$Y$324,5,FALSE)+VLOOKUP(A183,'Change in Proportion Layers'!$A$8:$Y$324,12,FALSE)+VLOOKUP(A183,'Change in Proportion Layers'!$A$8:$Y$324,18,FALSE)</f>
        <v>-963910</v>
      </c>
      <c r="T183" s="64">
        <f>+N183+VLOOKUP(A183,'Change in Proportion Layers'!$A$8:$Y$324,6,FALSE)+VLOOKUP(A183,'Change in Proportion Layers'!$A$8:$Y$324,13,FALSE)</f>
        <v>-1242059</v>
      </c>
      <c r="U183" s="64">
        <f>+O183+VLOOKUP(A183,'Change in Proportion Layers'!$A$8:$Y$324,7,FALSE)</f>
        <v>-828164</v>
      </c>
      <c r="W183" s="64">
        <f>('OPEB Amounts_Report'!H181-'OPEB Amounts_Report'!M181)</f>
        <v>-406020</v>
      </c>
      <c r="X183" s="129">
        <f>SUM(Q183:U183)-('OPEB Amounts_Report'!H183-'OPEB Amounts_Report'!M183)</f>
        <v>0</v>
      </c>
    </row>
    <row r="184" spans="1:24">
      <c r="A184" s="184">
        <v>2414</v>
      </c>
      <c r="B184" s="185" t="s">
        <v>171</v>
      </c>
      <c r="C184" s="63">
        <f t="shared" si="3"/>
        <v>13104</v>
      </c>
      <c r="D184" s="63">
        <f t="shared" si="3"/>
        <v>65734</v>
      </c>
      <c r="E184" s="63">
        <f t="shared" si="3"/>
        <v>92090</v>
      </c>
      <c r="F184" s="63">
        <f t="shared" si="3"/>
        <v>-57037</v>
      </c>
      <c r="G184" s="63">
        <f t="shared" si="3"/>
        <v>-39454</v>
      </c>
      <c r="I184" s="186"/>
      <c r="K184" s="64">
        <f>ROUND(VLOOKUP($A184,'Contribution Allocation_Report'!$A$9:$D$311,4,FALSE)*$K$326,0)</f>
        <v>-216845</v>
      </c>
      <c r="L184" s="64">
        <f>ROUND(VLOOKUP($A184,'Contribution Allocation_Report'!$A$9:$D$311,4,FALSE)*$L$326,0)</f>
        <v>-157572</v>
      </c>
      <c r="M184" s="64">
        <f>ROUND(VLOOKUP($A184,'Contribution Allocation_Report'!$A$9:$D$311,4,FALSE)*$M$326,0)</f>
        <v>-95089</v>
      </c>
      <c r="N184" s="64">
        <f>ROUND(VLOOKUP($A184,'Contribution Allocation_Report'!$A$9:$D$311,4,FALSE)*$N$326,0)</f>
        <v>-143363</v>
      </c>
      <c r="O184" s="64">
        <f>ROUND(VLOOKUP($A184,'Contribution Allocation_Report'!$A$9:$D$311,4,FALSE)*$O$326,0)</f>
        <v>-81670</v>
      </c>
      <c r="Q184" s="64">
        <f>+K184+VLOOKUP(A184,'Change in Proportion Layers'!$A$8:$N$324,3,FALSE)+VLOOKUP(A184,'Change in Proportion Layers'!$A$8:$Y$324,10,FALSE)+VLOOKUP(A184,'Change in Proportion Layers'!$A$8:$Y$324,16,FALSE)+VLOOKUP(A184,'Change in Proportion Layers'!$A$8:$Y$324,21,FALSE)+VLOOKUP(A184,'Change in Proportion Layers'!$A$8:$Y$324,25,FALSE)</f>
        <v>13104</v>
      </c>
      <c r="R184" s="64">
        <f>+L184+VLOOKUP(A184,'Change in Proportion Layers'!$A$8:$Y$324,4,FALSE)+VLOOKUP(A184,'Change in Proportion Layers'!$A$8:$Y$324,11,FALSE)+VLOOKUP(A184,'Change in Proportion Layers'!$A$8:$Y$324,17,FALSE)+VLOOKUP(A184,'Change in Proportion Layers'!$A$8:$Y$324,22,FALSE)</f>
        <v>65734</v>
      </c>
      <c r="S184" s="64">
        <f>+M184+VLOOKUP(A184,'Change in Proportion Layers'!$A$8:$Y$324,5,FALSE)+VLOOKUP(A184,'Change in Proportion Layers'!$A$8:$Y$324,12,FALSE)+VLOOKUP(A184,'Change in Proportion Layers'!$A$8:$Y$324,18,FALSE)</f>
        <v>92090</v>
      </c>
      <c r="T184" s="64">
        <f>+N184+VLOOKUP(A184,'Change in Proportion Layers'!$A$8:$Y$324,6,FALSE)+VLOOKUP(A184,'Change in Proportion Layers'!$A$8:$Y$324,13,FALSE)</f>
        <v>-57037</v>
      </c>
      <c r="U184" s="64">
        <f>+O184+VLOOKUP(A184,'Change in Proportion Layers'!$A$8:$Y$324,7,FALSE)</f>
        <v>-39454</v>
      </c>
      <c r="W184" s="64">
        <f>('OPEB Amounts_Report'!H182-'OPEB Amounts_Report'!M182)</f>
        <v>-380130</v>
      </c>
      <c r="X184" s="129">
        <f>SUM(Q184:U184)-('OPEB Amounts_Report'!H184-'OPEB Amounts_Report'!M184)</f>
        <v>0</v>
      </c>
    </row>
    <row r="185" spans="1:24">
      <c r="A185" s="187">
        <v>6124</v>
      </c>
      <c r="B185" s="188" t="s">
        <v>172</v>
      </c>
      <c r="C185" s="5">
        <f t="shared" si="3"/>
        <v>-1737445</v>
      </c>
      <c r="D185" s="5">
        <f t="shared" si="3"/>
        <v>-1273697</v>
      </c>
      <c r="E185" s="5">
        <f t="shared" si="3"/>
        <v>-821328</v>
      </c>
      <c r="F185" s="5">
        <f t="shared" si="3"/>
        <v>-923825</v>
      </c>
      <c r="G185" s="5">
        <f t="shared" si="3"/>
        <v>-464480</v>
      </c>
      <c r="I185" s="186"/>
      <c r="K185" s="64">
        <f>ROUND(VLOOKUP($A185,'Contribution Allocation_Report'!$A$9:$D$311,4,FALSE)*$K$326,0)</f>
        <v>-1134758</v>
      </c>
      <c r="L185" s="64">
        <f>ROUND(VLOOKUP($A185,'Contribution Allocation_Report'!$A$9:$D$311,4,FALSE)*$L$326,0)</f>
        <v>-824579</v>
      </c>
      <c r="M185" s="64">
        <f>ROUND(VLOOKUP($A185,'Contribution Allocation_Report'!$A$9:$D$311,4,FALSE)*$M$326,0)</f>
        <v>-497605</v>
      </c>
      <c r="N185" s="64">
        <f>ROUND(VLOOKUP($A185,'Contribution Allocation_Report'!$A$9:$D$311,4,FALSE)*$N$326,0)</f>
        <v>-750224</v>
      </c>
      <c r="O185" s="64">
        <f>ROUND(VLOOKUP($A185,'Contribution Allocation_Report'!$A$9:$D$311,4,FALSE)*$O$326,0)</f>
        <v>-427380</v>
      </c>
      <c r="Q185" s="64">
        <f>+K185+VLOOKUP(A185,'Change in Proportion Layers'!$A$8:$N$324,3,FALSE)+VLOOKUP(A185,'Change in Proportion Layers'!$A$8:$Y$324,10,FALSE)+VLOOKUP(A185,'Change in Proportion Layers'!$A$8:$Y$324,16,FALSE)+VLOOKUP(A185,'Change in Proportion Layers'!$A$8:$Y$324,21,FALSE)+VLOOKUP(A185,'Change in Proportion Layers'!$A$8:$Y$324,25,FALSE)</f>
        <v>-1737445</v>
      </c>
      <c r="R185" s="64">
        <f>+L185+VLOOKUP(A185,'Change in Proportion Layers'!$A$8:$Y$324,4,FALSE)+VLOOKUP(A185,'Change in Proportion Layers'!$A$8:$Y$324,11,FALSE)+VLOOKUP(A185,'Change in Proportion Layers'!$A$8:$Y$324,17,FALSE)+VLOOKUP(A185,'Change in Proportion Layers'!$A$8:$Y$324,22,FALSE)</f>
        <v>-1273697</v>
      </c>
      <c r="S185" s="64">
        <f>+M185+VLOOKUP(A185,'Change in Proportion Layers'!$A$8:$Y$324,5,FALSE)+VLOOKUP(A185,'Change in Proportion Layers'!$A$8:$Y$324,12,FALSE)+VLOOKUP(A185,'Change in Proportion Layers'!$A$8:$Y$324,18,FALSE)</f>
        <v>-821328</v>
      </c>
      <c r="T185" s="64">
        <f>+N185+VLOOKUP(A185,'Change in Proportion Layers'!$A$8:$Y$324,6,FALSE)+VLOOKUP(A185,'Change in Proportion Layers'!$A$8:$Y$324,13,FALSE)</f>
        <v>-923825</v>
      </c>
      <c r="U185" s="64">
        <f>+O185+VLOOKUP(A185,'Change in Proportion Layers'!$A$8:$Y$324,7,FALSE)-1</f>
        <v>-464480</v>
      </c>
      <c r="W185" s="64">
        <f>('OPEB Amounts_Report'!H183-'OPEB Amounts_Report'!M183)</f>
        <v>-7575652</v>
      </c>
      <c r="X185" s="129">
        <f>SUM(Q185:U185)-('OPEB Amounts_Report'!H185-'OPEB Amounts_Report'!M185)</f>
        <v>0</v>
      </c>
    </row>
    <row r="186" spans="1:24">
      <c r="A186" s="184">
        <v>4097</v>
      </c>
      <c r="B186" s="185" t="s">
        <v>173</v>
      </c>
      <c r="C186" s="63">
        <f t="shared" si="3"/>
        <v>-1541879</v>
      </c>
      <c r="D186" s="63">
        <f t="shared" si="3"/>
        <v>-1194048</v>
      </c>
      <c r="E186" s="63">
        <f t="shared" si="3"/>
        <v>-796005</v>
      </c>
      <c r="F186" s="63">
        <f t="shared" si="3"/>
        <v>-938414</v>
      </c>
      <c r="G186" s="63">
        <f t="shared" si="3"/>
        <v>-526206</v>
      </c>
      <c r="I186" s="186"/>
      <c r="K186" s="64">
        <f>ROUND(VLOOKUP($A186,'Contribution Allocation_Report'!$A$9:$D$311,4,FALSE)*$K$326,0)</f>
        <v>-1365252</v>
      </c>
      <c r="L186" s="64">
        <f>ROUND(VLOOKUP($A186,'Contribution Allocation_Report'!$A$9:$D$311,4,FALSE)*$L$326,0)</f>
        <v>-992069</v>
      </c>
      <c r="M186" s="64">
        <f>ROUND(VLOOKUP($A186,'Contribution Allocation_Report'!$A$9:$D$311,4,FALSE)*$M$326,0)</f>
        <v>-598679</v>
      </c>
      <c r="N186" s="64">
        <f>ROUND(VLOOKUP($A186,'Contribution Allocation_Report'!$A$9:$D$311,4,FALSE)*$N$326,0)</f>
        <v>-902611</v>
      </c>
      <c r="O186" s="64">
        <f>ROUND(VLOOKUP($A186,'Contribution Allocation_Report'!$A$9:$D$311,4,FALSE)*$O$326,0)</f>
        <v>-514190</v>
      </c>
      <c r="Q186" s="64">
        <f>+K186+VLOOKUP(A186,'Change in Proportion Layers'!$A$8:$N$324,3,FALSE)+VLOOKUP(A186,'Change in Proportion Layers'!$A$8:$Y$324,10,FALSE)+VLOOKUP(A186,'Change in Proportion Layers'!$A$8:$Y$324,16,FALSE)+VLOOKUP(A186,'Change in Proportion Layers'!$A$8:$Y$324,21,FALSE)+VLOOKUP(A186,'Change in Proportion Layers'!$A$8:$Y$324,25,FALSE)</f>
        <v>-1541879</v>
      </c>
      <c r="R186" s="64">
        <f>+L186+VLOOKUP(A186,'Change in Proportion Layers'!$A$8:$Y$324,4,FALSE)+VLOOKUP(A186,'Change in Proportion Layers'!$A$8:$Y$324,11,FALSE)+VLOOKUP(A186,'Change in Proportion Layers'!$A$8:$Y$324,17,FALSE)+VLOOKUP(A186,'Change in Proportion Layers'!$A$8:$Y$324,22,FALSE)</f>
        <v>-1194048</v>
      </c>
      <c r="S186" s="64">
        <f>+M186+VLOOKUP(A186,'Change in Proportion Layers'!$A$8:$Y$324,5,FALSE)+VLOOKUP(A186,'Change in Proportion Layers'!$A$8:$Y$324,12,FALSE)+VLOOKUP(A186,'Change in Proportion Layers'!$A$8:$Y$324,18,FALSE)</f>
        <v>-796005</v>
      </c>
      <c r="T186" s="64">
        <f>+N186+VLOOKUP(A186,'Change in Proportion Layers'!$A$8:$Y$324,6,FALSE)+VLOOKUP(A186,'Change in Proportion Layers'!$A$8:$Y$324,13,FALSE)</f>
        <v>-938414</v>
      </c>
      <c r="U186" s="64">
        <f>+O186+VLOOKUP(A186,'Change in Proportion Layers'!$A$8:$Y$324,7,FALSE)+1</f>
        <v>-526206</v>
      </c>
      <c r="W186" s="64">
        <f>('OPEB Amounts_Report'!H184-'OPEB Amounts_Report'!M184)</f>
        <v>74437</v>
      </c>
      <c r="X186" s="129">
        <f>SUM(Q186:U186)-('OPEB Amounts_Report'!H186-'OPEB Amounts_Report'!M186)</f>
        <v>0</v>
      </c>
    </row>
    <row r="187" spans="1:24">
      <c r="A187" s="187">
        <v>1416</v>
      </c>
      <c r="B187" s="188" t="s">
        <v>174</v>
      </c>
      <c r="C187" s="5">
        <f t="shared" si="3"/>
        <v>-94643</v>
      </c>
      <c r="D187" s="5">
        <f t="shared" si="3"/>
        <v>-68126</v>
      </c>
      <c r="E187" s="5">
        <f t="shared" si="3"/>
        <v>-34357</v>
      </c>
      <c r="F187" s="5">
        <f t="shared" si="3"/>
        <v>-78249</v>
      </c>
      <c r="G187" s="5">
        <f t="shared" si="3"/>
        <v>-55317</v>
      </c>
      <c r="I187" s="186"/>
      <c r="K187" s="64">
        <f>ROUND(VLOOKUP($A187,'Contribution Allocation_Report'!$A$9:$D$311,4,FALSE)*$K$326,0)</f>
        <v>-177370</v>
      </c>
      <c r="L187" s="64">
        <f>ROUND(VLOOKUP($A187,'Contribution Allocation_Report'!$A$9:$D$311,4,FALSE)*$L$326,0)</f>
        <v>-128887</v>
      </c>
      <c r="M187" s="64">
        <f>ROUND(VLOOKUP($A187,'Contribution Allocation_Report'!$A$9:$D$311,4,FALSE)*$M$326,0)</f>
        <v>-77779</v>
      </c>
      <c r="N187" s="64">
        <f>ROUND(VLOOKUP($A187,'Contribution Allocation_Report'!$A$9:$D$311,4,FALSE)*$N$326,0)</f>
        <v>-117265</v>
      </c>
      <c r="O187" s="64">
        <f>ROUND(VLOOKUP($A187,'Contribution Allocation_Report'!$A$9:$D$311,4,FALSE)*$O$326,0)</f>
        <v>-66802</v>
      </c>
      <c r="Q187" s="64">
        <f>+K187+VLOOKUP(A187,'Change in Proportion Layers'!$A$8:$N$324,3,FALSE)+VLOOKUP(A187,'Change in Proportion Layers'!$A$8:$Y$324,10,FALSE)+VLOOKUP(A187,'Change in Proportion Layers'!$A$8:$Y$324,16,FALSE)+VLOOKUP(A187,'Change in Proportion Layers'!$A$8:$Y$324,21,FALSE)+VLOOKUP(A187,'Change in Proportion Layers'!$A$8:$Y$324,25,FALSE)</f>
        <v>-94643</v>
      </c>
      <c r="R187" s="64">
        <f>+L187+VLOOKUP(A187,'Change in Proportion Layers'!$A$8:$Y$324,4,FALSE)+VLOOKUP(A187,'Change in Proportion Layers'!$A$8:$Y$324,11,FALSE)+VLOOKUP(A187,'Change in Proportion Layers'!$A$8:$Y$324,17,FALSE)+VLOOKUP(A187,'Change in Proportion Layers'!$A$8:$Y$324,22,FALSE)</f>
        <v>-68126</v>
      </c>
      <c r="S187" s="64">
        <f>+M187+VLOOKUP(A187,'Change in Proportion Layers'!$A$8:$Y$324,5,FALSE)+VLOOKUP(A187,'Change in Proportion Layers'!$A$8:$Y$324,12,FALSE)+VLOOKUP(A187,'Change in Proportion Layers'!$A$8:$Y$324,18,FALSE)</f>
        <v>-34357</v>
      </c>
      <c r="T187" s="64">
        <f>+N187+VLOOKUP(A187,'Change in Proportion Layers'!$A$8:$Y$324,6,FALSE)+VLOOKUP(A187,'Change in Proportion Layers'!$A$8:$Y$324,13,FALSE)</f>
        <v>-78249</v>
      </c>
      <c r="U187" s="64">
        <f>+O187+VLOOKUP(A187,'Change in Proportion Layers'!$A$8:$Y$324,7,FALSE)</f>
        <v>-55317</v>
      </c>
      <c r="W187" s="64">
        <f>('OPEB Amounts_Report'!H185-'OPEB Amounts_Report'!M185)</f>
        <v>-5220775</v>
      </c>
      <c r="X187" s="129">
        <f>SUM(Q187:U187)-('OPEB Amounts_Report'!H187-'OPEB Amounts_Report'!M187)</f>
        <v>0</v>
      </c>
    </row>
    <row r="188" spans="1:24">
      <c r="A188" s="184">
        <v>1094</v>
      </c>
      <c r="B188" s="185" t="s">
        <v>175</v>
      </c>
      <c r="C188" s="63">
        <f t="shared" si="3"/>
        <v>-1112281</v>
      </c>
      <c r="D188" s="63">
        <f t="shared" si="3"/>
        <v>-869772</v>
      </c>
      <c r="E188" s="63">
        <f t="shared" si="3"/>
        <v>-606658</v>
      </c>
      <c r="F188" s="63">
        <f t="shared" si="3"/>
        <v>-845634</v>
      </c>
      <c r="G188" s="63">
        <f t="shared" si="3"/>
        <v>-455590</v>
      </c>
      <c r="I188" s="186"/>
      <c r="K188" s="64">
        <f>ROUND(VLOOKUP($A188,'Contribution Allocation_Report'!$A$9:$D$311,4,FALSE)*$K$326,0)</f>
        <v>-959888</v>
      </c>
      <c r="L188" s="64">
        <f>ROUND(VLOOKUP($A188,'Contribution Allocation_Report'!$A$9:$D$311,4,FALSE)*$L$326,0)</f>
        <v>-697509</v>
      </c>
      <c r="M188" s="64">
        <f>ROUND(VLOOKUP($A188,'Contribution Allocation_Report'!$A$9:$D$311,4,FALSE)*$M$326,0)</f>
        <v>-420922</v>
      </c>
      <c r="N188" s="64">
        <f>ROUND(VLOOKUP($A188,'Contribution Allocation_Report'!$A$9:$D$311,4,FALSE)*$N$326,0)</f>
        <v>-634612</v>
      </c>
      <c r="O188" s="64">
        <f>ROUND(VLOOKUP($A188,'Contribution Allocation_Report'!$A$9:$D$311,4,FALSE)*$O$326,0)</f>
        <v>-361519</v>
      </c>
      <c r="Q188" s="64">
        <f>+K188+VLOOKUP(A188,'Change in Proportion Layers'!$A$8:$N$324,3,FALSE)+VLOOKUP(A188,'Change in Proportion Layers'!$A$8:$Y$324,10,FALSE)+VLOOKUP(A188,'Change in Proportion Layers'!$A$8:$Y$324,16,FALSE)+VLOOKUP(A188,'Change in Proportion Layers'!$A$8:$Y$324,21,FALSE)+VLOOKUP(A188,'Change in Proportion Layers'!$A$8:$Y$324,25,FALSE)</f>
        <v>-1112281</v>
      </c>
      <c r="R188" s="64">
        <f>+L188+VLOOKUP(A188,'Change in Proportion Layers'!$A$8:$Y$324,4,FALSE)+VLOOKUP(A188,'Change in Proportion Layers'!$A$8:$Y$324,11,FALSE)+VLOOKUP(A188,'Change in Proportion Layers'!$A$8:$Y$324,17,FALSE)+VLOOKUP(A188,'Change in Proportion Layers'!$A$8:$Y$324,22,FALSE)</f>
        <v>-869772</v>
      </c>
      <c r="S188" s="64">
        <f>+M188+VLOOKUP(A188,'Change in Proportion Layers'!$A$8:$Y$324,5,FALSE)+VLOOKUP(A188,'Change in Proportion Layers'!$A$8:$Y$324,12,FALSE)+VLOOKUP(A188,'Change in Proportion Layers'!$A$8:$Y$324,18,FALSE)</f>
        <v>-606658</v>
      </c>
      <c r="T188" s="64">
        <f>+N188+VLOOKUP(A188,'Change in Proportion Layers'!$A$8:$Y$324,6,FALSE)+VLOOKUP(A188,'Change in Proportion Layers'!$A$8:$Y$324,13,FALSE)</f>
        <v>-845634</v>
      </c>
      <c r="U188" s="64">
        <f>+O188+VLOOKUP(A188,'Change in Proportion Layers'!$A$8:$Y$324,7,FALSE)-2</f>
        <v>-455590</v>
      </c>
      <c r="W188" s="64">
        <f>('OPEB Amounts_Report'!H186-'OPEB Amounts_Report'!M186)</f>
        <v>-4996552</v>
      </c>
      <c r="X188" s="129">
        <f>SUM(Q188:U188)-('OPEB Amounts_Report'!H188-'OPEB Amounts_Report'!M188)</f>
        <v>0</v>
      </c>
    </row>
    <row r="189" spans="1:24">
      <c r="A189" s="187">
        <v>32111</v>
      </c>
      <c r="B189" s="188" t="s">
        <v>176</v>
      </c>
      <c r="C189" s="5">
        <f t="shared" si="3"/>
        <v>-994746</v>
      </c>
      <c r="D189" s="5">
        <f t="shared" si="3"/>
        <v>-750815</v>
      </c>
      <c r="E189" s="5">
        <f t="shared" si="3"/>
        <v>-474540</v>
      </c>
      <c r="F189" s="5">
        <f t="shared" si="3"/>
        <v>-665218</v>
      </c>
      <c r="G189" s="5">
        <f t="shared" si="3"/>
        <v>-332115</v>
      </c>
      <c r="I189" s="186"/>
      <c r="K189" s="64">
        <f>ROUND(VLOOKUP($A189,'Contribution Allocation_Report'!$A$9:$D$311,4,FALSE)*$K$326,0)</f>
        <v>-962833</v>
      </c>
      <c r="L189" s="64">
        <f>ROUND(VLOOKUP($A189,'Contribution Allocation_Report'!$A$9:$D$311,4,FALSE)*$L$326,0)</f>
        <v>-699649</v>
      </c>
      <c r="M189" s="64">
        <f>ROUND(VLOOKUP($A189,'Contribution Allocation_Report'!$A$9:$D$311,4,FALSE)*$M$326,0)</f>
        <v>-422214</v>
      </c>
      <c r="N189" s="64">
        <f>ROUND(VLOOKUP($A189,'Contribution Allocation_Report'!$A$9:$D$311,4,FALSE)*$N$326,0)</f>
        <v>-636559</v>
      </c>
      <c r="O189" s="64">
        <f>ROUND(VLOOKUP($A189,'Contribution Allocation_Report'!$A$9:$D$311,4,FALSE)*$O$326,0)</f>
        <v>-362628</v>
      </c>
      <c r="Q189" s="64">
        <f>+K189+VLOOKUP(A189,'Change in Proportion Layers'!$A$8:$N$324,3,FALSE)+VLOOKUP(A189,'Change in Proportion Layers'!$A$8:$Y$324,10,FALSE)+VLOOKUP(A189,'Change in Proportion Layers'!$A$8:$Y$324,16,FALSE)+VLOOKUP(A189,'Change in Proportion Layers'!$A$8:$Y$324,21,FALSE)+VLOOKUP(A189,'Change in Proportion Layers'!$A$8:$Y$324,25,FALSE)</f>
        <v>-994746</v>
      </c>
      <c r="R189" s="64">
        <f>+L189+VLOOKUP(A189,'Change in Proportion Layers'!$A$8:$Y$324,4,FALSE)+VLOOKUP(A189,'Change in Proportion Layers'!$A$8:$Y$324,11,FALSE)+VLOOKUP(A189,'Change in Proportion Layers'!$A$8:$Y$324,17,FALSE)+VLOOKUP(A189,'Change in Proportion Layers'!$A$8:$Y$324,22,FALSE)</f>
        <v>-750815</v>
      </c>
      <c r="S189" s="64">
        <f>+M189+VLOOKUP(A189,'Change in Proportion Layers'!$A$8:$Y$324,5,FALSE)+VLOOKUP(A189,'Change in Proportion Layers'!$A$8:$Y$324,12,FALSE)+VLOOKUP(A189,'Change in Proportion Layers'!$A$8:$Y$324,18,FALSE)</f>
        <v>-474540</v>
      </c>
      <c r="T189" s="64">
        <f>+N189+VLOOKUP(A189,'Change in Proportion Layers'!$A$8:$Y$324,6,FALSE)+VLOOKUP(A189,'Change in Proportion Layers'!$A$8:$Y$324,13,FALSE)</f>
        <v>-665218</v>
      </c>
      <c r="U189" s="64">
        <f>+O189+VLOOKUP(A189,'Change in Proportion Layers'!$A$8:$Y$324,7,FALSE)-1</f>
        <v>-332115</v>
      </c>
      <c r="W189" s="64">
        <f>('OPEB Amounts_Report'!H187-'OPEB Amounts_Report'!M187)</f>
        <v>-330692</v>
      </c>
      <c r="X189" s="129">
        <f>SUM(Q189:U189)-('OPEB Amounts_Report'!H189-'OPEB Amounts_Report'!M189)</f>
        <v>0</v>
      </c>
    </row>
    <row r="190" spans="1:24">
      <c r="A190" s="184">
        <v>2520</v>
      </c>
      <c r="B190" s="185" t="s">
        <v>177</v>
      </c>
      <c r="C190" s="63">
        <f t="shared" si="3"/>
        <v>-187527</v>
      </c>
      <c r="D190" s="63">
        <f t="shared" si="3"/>
        <v>-115894</v>
      </c>
      <c r="E190" s="63">
        <f t="shared" si="3"/>
        <v>-26231</v>
      </c>
      <c r="F190" s="63">
        <f t="shared" si="3"/>
        <v>-42941</v>
      </c>
      <c r="G190" s="63">
        <f t="shared" si="3"/>
        <v>-33516</v>
      </c>
      <c r="I190" s="186"/>
      <c r="K190" s="64">
        <f>ROUND(VLOOKUP($A190,'Contribution Allocation_Report'!$A$9:$D$311,4,FALSE)*$K$326,0)</f>
        <v>-144964</v>
      </c>
      <c r="L190" s="64">
        <f>ROUND(VLOOKUP($A190,'Contribution Allocation_Report'!$A$9:$D$311,4,FALSE)*$L$326,0)</f>
        <v>-105339</v>
      </c>
      <c r="M190" s="64">
        <f>ROUND(VLOOKUP($A190,'Contribution Allocation_Report'!$A$9:$D$311,4,FALSE)*$M$326,0)</f>
        <v>-63569</v>
      </c>
      <c r="N190" s="64">
        <f>ROUND(VLOOKUP($A190,'Contribution Allocation_Report'!$A$9:$D$311,4,FALSE)*$N$326,0)</f>
        <v>-95840</v>
      </c>
      <c r="O190" s="64">
        <f>ROUND(VLOOKUP($A190,'Contribution Allocation_Report'!$A$9:$D$311,4,FALSE)*$O$326,0)</f>
        <v>-54597</v>
      </c>
      <c r="Q190" s="64">
        <f>+K190+VLOOKUP(A190,'Change in Proportion Layers'!$A$8:$N$324,3,FALSE)+VLOOKUP(A190,'Change in Proportion Layers'!$A$8:$Y$324,10,FALSE)+VLOOKUP(A190,'Change in Proportion Layers'!$A$8:$Y$324,16,FALSE)+VLOOKUP(A190,'Change in Proportion Layers'!$A$8:$Y$324,21,FALSE)+VLOOKUP(A190,'Change in Proportion Layers'!$A$8:$Y$324,25,FALSE)</f>
        <v>-187527</v>
      </c>
      <c r="R190" s="64">
        <f>+L190+VLOOKUP(A190,'Change in Proportion Layers'!$A$8:$Y$324,4,FALSE)+VLOOKUP(A190,'Change in Proportion Layers'!$A$8:$Y$324,11,FALSE)+VLOOKUP(A190,'Change in Proportion Layers'!$A$8:$Y$324,17,FALSE)+VLOOKUP(A190,'Change in Proportion Layers'!$A$8:$Y$324,22,FALSE)</f>
        <v>-115894</v>
      </c>
      <c r="S190" s="64">
        <f>+M190+VLOOKUP(A190,'Change in Proportion Layers'!$A$8:$Y$324,5,FALSE)+VLOOKUP(A190,'Change in Proportion Layers'!$A$8:$Y$324,12,FALSE)+VLOOKUP(A190,'Change in Proportion Layers'!$A$8:$Y$324,18,FALSE)</f>
        <v>-26231</v>
      </c>
      <c r="T190" s="64">
        <f>+N190+VLOOKUP(A190,'Change in Proportion Layers'!$A$8:$Y$324,6,FALSE)+VLOOKUP(A190,'Change in Proportion Layers'!$A$8:$Y$324,13,FALSE)</f>
        <v>-42941</v>
      </c>
      <c r="U190" s="64">
        <f>+O190+VLOOKUP(A190,'Change in Proportion Layers'!$A$8:$Y$324,7,FALSE)-1</f>
        <v>-33516</v>
      </c>
      <c r="W190" s="64">
        <f>('OPEB Amounts_Report'!H188-'OPEB Amounts_Report'!M188)</f>
        <v>-3889935</v>
      </c>
      <c r="X190" s="129">
        <f>SUM(Q190:U190)-('OPEB Amounts_Report'!H190-'OPEB Amounts_Report'!M190)</f>
        <v>0</v>
      </c>
    </row>
    <row r="191" spans="1:24">
      <c r="A191" s="187">
        <v>3450</v>
      </c>
      <c r="B191" s="188" t="s">
        <v>178</v>
      </c>
      <c r="C191" s="5">
        <f t="shared" si="3"/>
        <v>-259203</v>
      </c>
      <c r="D191" s="5">
        <f t="shared" si="3"/>
        <v>-210518</v>
      </c>
      <c r="E191" s="5">
        <f t="shared" si="3"/>
        <v>-132719</v>
      </c>
      <c r="F191" s="5">
        <f t="shared" si="3"/>
        <v>-178495</v>
      </c>
      <c r="G191" s="5">
        <f t="shared" si="3"/>
        <v>-106243</v>
      </c>
      <c r="I191" s="186"/>
      <c r="K191" s="64">
        <f>ROUND(VLOOKUP($A191,'Contribution Allocation_Report'!$A$9:$D$311,4,FALSE)*$K$326,0)</f>
        <v>-259459</v>
      </c>
      <c r="L191" s="64">
        <f>ROUND(VLOOKUP($A191,'Contribution Allocation_Report'!$A$9:$D$311,4,FALSE)*$L$326,0)</f>
        <v>-188537</v>
      </c>
      <c r="M191" s="64">
        <f>ROUND(VLOOKUP($A191,'Contribution Allocation_Report'!$A$9:$D$311,4,FALSE)*$M$326,0)</f>
        <v>-113776</v>
      </c>
      <c r="N191" s="64">
        <f>ROUND(VLOOKUP($A191,'Contribution Allocation_Report'!$A$9:$D$311,4,FALSE)*$N$326,0)</f>
        <v>-171536</v>
      </c>
      <c r="O191" s="64">
        <f>ROUND(VLOOKUP($A191,'Contribution Allocation_Report'!$A$9:$D$311,4,FALSE)*$O$326,0)</f>
        <v>-97719</v>
      </c>
      <c r="Q191" s="64">
        <f>+K191+VLOOKUP(A191,'Change in Proportion Layers'!$A$8:$N$324,3,FALSE)+VLOOKUP(A191,'Change in Proportion Layers'!$A$8:$Y$324,10,FALSE)+VLOOKUP(A191,'Change in Proportion Layers'!$A$8:$Y$324,16,FALSE)+VLOOKUP(A191,'Change in Proportion Layers'!$A$8:$Y$324,21,FALSE)+VLOOKUP(A191,'Change in Proportion Layers'!$A$8:$Y$324,25,FALSE)</f>
        <v>-259203</v>
      </c>
      <c r="R191" s="64">
        <f>+L191+VLOOKUP(A191,'Change in Proportion Layers'!$A$8:$Y$324,4,FALSE)+VLOOKUP(A191,'Change in Proportion Layers'!$A$8:$Y$324,11,FALSE)+VLOOKUP(A191,'Change in Proportion Layers'!$A$8:$Y$324,17,FALSE)+VLOOKUP(A191,'Change in Proportion Layers'!$A$8:$Y$324,22,FALSE)</f>
        <v>-210518</v>
      </c>
      <c r="S191" s="64">
        <f>+M191+VLOOKUP(A191,'Change in Proportion Layers'!$A$8:$Y$324,5,FALSE)+VLOOKUP(A191,'Change in Proportion Layers'!$A$8:$Y$324,12,FALSE)+VLOOKUP(A191,'Change in Proportion Layers'!$A$8:$Y$324,18,FALSE)</f>
        <v>-132719</v>
      </c>
      <c r="T191" s="64">
        <f>+N191+VLOOKUP(A191,'Change in Proportion Layers'!$A$8:$Y$324,6,FALSE)+VLOOKUP(A191,'Change in Proportion Layers'!$A$8:$Y$324,13,FALSE)</f>
        <v>-178495</v>
      </c>
      <c r="U191" s="64">
        <f>+O191+VLOOKUP(A191,'Change in Proportion Layers'!$A$8:$Y$324,7,FALSE)</f>
        <v>-106243</v>
      </c>
      <c r="W191" s="64">
        <f>('OPEB Amounts_Report'!H189-'OPEB Amounts_Report'!M189)</f>
        <v>-3217434</v>
      </c>
      <c r="X191" s="129">
        <f>SUM(Q191:U191)-('OPEB Amounts_Report'!H191-'OPEB Amounts_Report'!M191)</f>
        <v>0</v>
      </c>
    </row>
    <row r="192" spans="1:24">
      <c r="A192" s="184">
        <v>4310</v>
      </c>
      <c r="B192" s="185" t="s">
        <v>179</v>
      </c>
      <c r="C192" s="63">
        <f t="shared" si="3"/>
        <v>-131424</v>
      </c>
      <c r="D192" s="63">
        <f t="shared" si="3"/>
        <v>-123901</v>
      </c>
      <c r="E192" s="63">
        <f t="shared" si="3"/>
        <v>-101964</v>
      </c>
      <c r="F192" s="63">
        <f t="shared" si="3"/>
        <v>-132529</v>
      </c>
      <c r="G192" s="63">
        <f t="shared" si="3"/>
        <v>-72755</v>
      </c>
      <c r="I192" s="186"/>
      <c r="K192" s="64">
        <f>ROUND(VLOOKUP($A192,'Contribution Allocation_Report'!$A$9:$D$311,4,FALSE)*$K$326,0)</f>
        <v>-136711</v>
      </c>
      <c r="L192" s="64">
        <f>ROUND(VLOOKUP($A192,'Contribution Allocation_Report'!$A$9:$D$311,4,FALSE)*$L$326,0)</f>
        <v>-99342</v>
      </c>
      <c r="M192" s="64">
        <f>ROUND(VLOOKUP($A192,'Contribution Allocation_Report'!$A$9:$D$311,4,FALSE)*$M$326,0)</f>
        <v>-59950</v>
      </c>
      <c r="N192" s="64">
        <f>ROUND(VLOOKUP($A192,'Contribution Allocation_Report'!$A$9:$D$311,4,FALSE)*$N$326,0)</f>
        <v>-90384</v>
      </c>
      <c r="O192" s="64">
        <f>ROUND(VLOOKUP($A192,'Contribution Allocation_Report'!$A$9:$D$311,4,FALSE)*$O$326,0)</f>
        <v>-51489</v>
      </c>
      <c r="Q192" s="64">
        <f>+K192+VLOOKUP(A192,'Change in Proportion Layers'!$A$8:$N$324,3,FALSE)+VLOOKUP(A192,'Change in Proportion Layers'!$A$8:$Y$324,10,FALSE)+VLOOKUP(A192,'Change in Proportion Layers'!$A$8:$Y$324,16,FALSE)+VLOOKUP(A192,'Change in Proportion Layers'!$A$8:$Y$324,21,FALSE)+VLOOKUP(A192,'Change in Proportion Layers'!$A$8:$Y$324,25,FALSE)</f>
        <v>-131424</v>
      </c>
      <c r="R192" s="64">
        <f>+L192+VLOOKUP(A192,'Change in Proportion Layers'!$A$8:$Y$324,4,FALSE)+VLOOKUP(A192,'Change in Proportion Layers'!$A$8:$Y$324,11,FALSE)+VLOOKUP(A192,'Change in Proportion Layers'!$A$8:$Y$324,17,FALSE)+VLOOKUP(A192,'Change in Proportion Layers'!$A$8:$Y$324,22,FALSE)</f>
        <v>-123901</v>
      </c>
      <c r="S192" s="64">
        <f>+M192+VLOOKUP(A192,'Change in Proportion Layers'!$A$8:$Y$324,5,FALSE)+VLOOKUP(A192,'Change in Proportion Layers'!$A$8:$Y$324,12,FALSE)+VLOOKUP(A192,'Change in Proportion Layers'!$A$8:$Y$324,18,FALSE)</f>
        <v>-101964</v>
      </c>
      <c r="T192" s="64">
        <f>+N192+VLOOKUP(A192,'Change in Proportion Layers'!$A$8:$Y$324,6,FALSE)+VLOOKUP(A192,'Change in Proportion Layers'!$A$8:$Y$324,13,FALSE)</f>
        <v>-132529</v>
      </c>
      <c r="U192" s="64">
        <f>+O192+VLOOKUP(A192,'Change in Proportion Layers'!$A$8:$Y$324,7,FALSE)</f>
        <v>-72755</v>
      </c>
      <c r="W192" s="64">
        <f>('OPEB Amounts_Report'!H190-'OPEB Amounts_Report'!M190)</f>
        <v>-406109</v>
      </c>
      <c r="X192" s="129">
        <f>SUM(Q192:U192)-('OPEB Amounts_Report'!H192-'OPEB Amounts_Report'!M192)</f>
        <v>0</v>
      </c>
    </row>
    <row r="193" spans="1:24">
      <c r="A193" s="187">
        <v>2328</v>
      </c>
      <c r="B193" s="188" t="s">
        <v>180</v>
      </c>
      <c r="C193" s="5">
        <f t="shared" si="3"/>
        <v>-250661</v>
      </c>
      <c r="D193" s="5">
        <f t="shared" si="3"/>
        <v>-111503</v>
      </c>
      <c r="E193" s="5">
        <f t="shared" si="3"/>
        <v>-78680</v>
      </c>
      <c r="F193" s="5">
        <f t="shared" si="3"/>
        <v>-132446</v>
      </c>
      <c r="G193" s="5">
        <f t="shared" si="3"/>
        <v>-82606</v>
      </c>
      <c r="I193" s="186"/>
      <c r="K193" s="64">
        <f>ROUND(VLOOKUP($A193,'Contribution Allocation_Report'!$A$9:$D$311,4,FALSE)*$K$326,0)</f>
        <v>-256935</v>
      </c>
      <c r="L193" s="64">
        <f>ROUND(VLOOKUP($A193,'Contribution Allocation_Report'!$A$9:$D$311,4,FALSE)*$L$326,0)</f>
        <v>-186704</v>
      </c>
      <c r="M193" s="64">
        <f>ROUND(VLOOKUP($A193,'Contribution Allocation_Report'!$A$9:$D$311,4,FALSE)*$M$326,0)</f>
        <v>-112669</v>
      </c>
      <c r="N193" s="64">
        <f>ROUND(VLOOKUP($A193,'Contribution Allocation_Report'!$A$9:$D$311,4,FALSE)*$N$326,0)</f>
        <v>-169868</v>
      </c>
      <c r="O193" s="64">
        <f>ROUND(VLOOKUP($A193,'Contribution Allocation_Report'!$A$9:$D$311,4,FALSE)*$O$326,0)</f>
        <v>-96769</v>
      </c>
      <c r="Q193" s="64">
        <f>+K193+VLOOKUP(A193,'Change in Proportion Layers'!$A$8:$N$324,3,FALSE)+VLOOKUP(A193,'Change in Proportion Layers'!$A$8:$Y$324,10,FALSE)+VLOOKUP(A193,'Change in Proportion Layers'!$A$8:$Y$324,16,FALSE)+VLOOKUP(A193,'Change in Proportion Layers'!$A$8:$Y$324,21,FALSE)+VLOOKUP(A193,'Change in Proportion Layers'!$A$8:$Y$324,25,FALSE)</f>
        <v>-250661</v>
      </c>
      <c r="R193" s="64">
        <f>+L193+VLOOKUP(A193,'Change in Proportion Layers'!$A$8:$Y$324,4,FALSE)+VLOOKUP(A193,'Change in Proportion Layers'!$A$8:$Y$324,11,FALSE)+VLOOKUP(A193,'Change in Proportion Layers'!$A$8:$Y$324,17,FALSE)+VLOOKUP(A193,'Change in Proportion Layers'!$A$8:$Y$324,22,FALSE)</f>
        <v>-111503</v>
      </c>
      <c r="S193" s="64">
        <f>+M193+VLOOKUP(A193,'Change in Proportion Layers'!$A$8:$Y$324,5,FALSE)+VLOOKUP(A193,'Change in Proportion Layers'!$A$8:$Y$324,12,FALSE)+VLOOKUP(A193,'Change in Proportion Layers'!$A$8:$Y$324,18,FALSE)</f>
        <v>-78680</v>
      </c>
      <c r="T193" s="64">
        <f>+N193+VLOOKUP(A193,'Change in Proportion Layers'!$A$8:$Y$324,6,FALSE)+VLOOKUP(A193,'Change in Proportion Layers'!$A$8:$Y$324,13,FALSE)</f>
        <v>-132446</v>
      </c>
      <c r="U193" s="64">
        <f>+O193+VLOOKUP(A193,'Change in Proportion Layers'!$A$8:$Y$324,7,FALSE)-1</f>
        <v>-82606</v>
      </c>
      <c r="W193" s="64">
        <f>('OPEB Amounts_Report'!H191-'OPEB Amounts_Report'!M191)</f>
        <v>-887178</v>
      </c>
      <c r="X193" s="129">
        <f>SUM(Q193:U193)-('OPEB Amounts_Report'!H193-'OPEB Amounts_Report'!M193)</f>
        <v>0</v>
      </c>
    </row>
    <row r="194" spans="1:24">
      <c r="A194" s="184">
        <v>12151</v>
      </c>
      <c r="B194" s="185" t="s">
        <v>181</v>
      </c>
      <c r="C194" s="63">
        <f t="shared" si="3"/>
        <v>-171946</v>
      </c>
      <c r="D194" s="63">
        <f t="shared" si="3"/>
        <v>-121218</v>
      </c>
      <c r="E194" s="63">
        <f t="shared" si="3"/>
        <v>-67718</v>
      </c>
      <c r="F194" s="63">
        <f t="shared" si="3"/>
        <v>-51887</v>
      </c>
      <c r="G194" s="63">
        <f t="shared" si="3"/>
        <v>-37091</v>
      </c>
      <c r="I194" s="186"/>
      <c r="K194" s="64">
        <f>ROUND(VLOOKUP($A194,'Contribution Allocation_Report'!$A$9:$D$311,4,FALSE)*$K$326,0)</f>
        <v>-75592</v>
      </c>
      <c r="L194" s="64">
        <f>ROUND(VLOOKUP($A194,'Contribution Allocation_Report'!$A$9:$D$311,4,FALSE)*$L$326,0)</f>
        <v>-54930</v>
      </c>
      <c r="M194" s="64">
        <f>ROUND(VLOOKUP($A194,'Contribution Allocation_Report'!$A$9:$D$311,4,FALSE)*$M$326,0)</f>
        <v>-33148</v>
      </c>
      <c r="N194" s="64">
        <f>ROUND(VLOOKUP($A194,'Contribution Allocation_Report'!$A$9:$D$311,4,FALSE)*$N$326,0)</f>
        <v>-49977</v>
      </c>
      <c r="O194" s="64">
        <f>ROUND(VLOOKUP($A194,'Contribution Allocation_Report'!$A$9:$D$311,4,FALSE)*$O$326,0)</f>
        <v>-28470</v>
      </c>
      <c r="Q194" s="64">
        <f>+K194+VLOOKUP(A194,'Change in Proportion Layers'!$A$8:$N$324,3,FALSE)+VLOOKUP(A194,'Change in Proportion Layers'!$A$8:$Y$324,10,FALSE)+VLOOKUP(A194,'Change in Proportion Layers'!$A$8:$Y$324,16,FALSE)+VLOOKUP(A194,'Change in Proportion Layers'!$A$8:$Y$324,21,FALSE)+VLOOKUP(A194,'Change in Proportion Layers'!$A$8:$Y$324,25,FALSE)</f>
        <v>-171946</v>
      </c>
      <c r="R194" s="64">
        <f>+L194+VLOOKUP(A194,'Change in Proportion Layers'!$A$8:$Y$324,4,FALSE)+VLOOKUP(A194,'Change in Proportion Layers'!$A$8:$Y$324,11,FALSE)+VLOOKUP(A194,'Change in Proportion Layers'!$A$8:$Y$324,17,FALSE)+VLOOKUP(A194,'Change in Proportion Layers'!$A$8:$Y$324,22,FALSE)</f>
        <v>-121218</v>
      </c>
      <c r="S194" s="64">
        <f>+M194+VLOOKUP(A194,'Change in Proportion Layers'!$A$8:$Y$324,5,FALSE)+VLOOKUP(A194,'Change in Proportion Layers'!$A$8:$Y$324,12,FALSE)+VLOOKUP(A194,'Change in Proportion Layers'!$A$8:$Y$324,18,FALSE)</f>
        <v>-67718</v>
      </c>
      <c r="T194" s="64">
        <f>+N194+VLOOKUP(A194,'Change in Proportion Layers'!$A$8:$Y$324,6,FALSE)+VLOOKUP(A194,'Change in Proportion Layers'!$A$8:$Y$324,13,FALSE)</f>
        <v>-51887</v>
      </c>
      <c r="U194" s="64">
        <f>+O194+VLOOKUP(A194,'Change in Proportion Layers'!$A$8:$Y$324,7,FALSE)</f>
        <v>-37091</v>
      </c>
      <c r="W194" s="64">
        <f>('OPEB Amounts_Report'!H192-'OPEB Amounts_Report'!M192)</f>
        <v>-562573</v>
      </c>
      <c r="X194" s="129">
        <f>SUM(Q194:U194)-('OPEB Amounts_Report'!H194-'OPEB Amounts_Report'!M194)</f>
        <v>0</v>
      </c>
    </row>
    <row r="195" spans="1:24">
      <c r="A195" s="187">
        <v>32110</v>
      </c>
      <c r="B195" s="188" t="s">
        <v>182</v>
      </c>
      <c r="C195" s="5">
        <f t="shared" si="3"/>
        <v>-731280</v>
      </c>
      <c r="D195" s="5">
        <f t="shared" si="3"/>
        <v>-536581</v>
      </c>
      <c r="E195" s="5">
        <f t="shared" si="3"/>
        <v>-260219</v>
      </c>
      <c r="F195" s="5">
        <f t="shared" si="3"/>
        <v>-558166</v>
      </c>
      <c r="G195" s="5">
        <f t="shared" si="3"/>
        <v>-393982</v>
      </c>
      <c r="I195" s="186"/>
      <c r="K195" s="64">
        <f>ROUND(VLOOKUP($A195,'Contribution Allocation_Report'!$A$9:$D$311,4,FALSE)*$K$326,0)</f>
        <v>-906940</v>
      </c>
      <c r="L195" s="64">
        <f>ROUND(VLOOKUP($A195,'Contribution Allocation_Report'!$A$9:$D$311,4,FALSE)*$L$326,0)</f>
        <v>-659033</v>
      </c>
      <c r="M195" s="64">
        <f>ROUND(VLOOKUP($A195,'Contribution Allocation_Report'!$A$9:$D$311,4,FALSE)*$M$326,0)</f>
        <v>-397704</v>
      </c>
      <c r="N195" s="64">
        <f>ROUND(VLOOKUP($A195,'Contribution Allocation_Report'!$A$9:$D$311,4,FALSE)*$N$326,0)</f>
        <v>-599606</v>
      </c>
      <c r="O195" s="64">
        <f>ROUND(VLOOKUP($A195,'Contribution Allocation_Report'!$A$9:$D$311,4,FALSE)*$O$326,0)</f>
        <v>-341577</v>
      </c>
      <c r="Q195" s="64">
        <f>+K195+VLOOKUP(A195,'Change in Proportion Layers'!$A$8:$N$324,3,FALSE)+VLOOKUP(A195,'Change in Proportion Layers'!$A$8:$Y$324,10,FALSE)+VLOOKUP(A195,'Change in Proportion Layers'!$A$8:$Y$324,16,FALSE)+VLOOKUP(A195,'Change in Proportion Layers'!$A$8:$Y$324,21,FALSE)+VLOOKUP(A195,'Change in Proportion Layers'!$A$8:$Y$324,25,FALSE)</f>
        <v>-731280</v>
      </c>
      <c r="R195" s="64">
        <f>+L195+VLOOKUP(A195,'Change in Proportion Layers'!$A$8:$Y$324,4,FALSE)+VLOOKUP(A195,'Change in Proportion Layers'!$A$8:$Y$324,11,FALSE)+VLOOKUP(A195,'Change in Proportion Layers'!$A$8:$Y$324,17,FALSE)+VLOOKUP(A195,'Change in Proportion Layers'!$A$8:$Y$324,22,FALSE)</f>
        <v>-536581</v>
      </c>
      <c r="S195" s="64">
        <f>+M195+VLOOKUP(A195,'Change in Proportion Layers'!$A$8:$Y$324,5,FALSE)+VLOOKUP(A195,'Change in Proportion Layers'!$A$8:$Y$324,12,FALSE)+VLOOKUP(A195,'Change in Proportion Layers'!$A$8:$Y$324,18,FALSE)</f>
        <v>-260219</v>
      </c>
      <c r="T195" s="64">
        <f>+N195+VLOOKUP(A195,'Change in Proportion Layers'!$A$8:$Y$324,6,FALSE)+VLOOKUP(A195,'Change in Proportion Layers'!$A$8:$Y$324,13,FALSE)</f>
        <v>-558166</v>
      </c>
      <c r="U195" s="64">
        <f>+O195+VLOOKUP(A195,'Change in Proportion Layers'!$A$8:$Y$324,7,FALSE)+1</f>
        <v>-393982</v>
      </c>
      <c r="W195" s="64">
        <f>('OPEB Amounts_Report'!H193-'OPEB Amounts_Report'!M193)</f>
        <v>-655896</v>
      </c>
      <c r="X195" s="129">
        <f>SUM(Q195:U195)-('OPEB Amounts_Report'!H195-'OPEB Amounts_Report'!M195)</f>
        <v>0</v>
      </c>
    </row>
    <row r="196" spans="1:24">
      <c r="A196" s="184">
        <v>2870</v>
      </c>
      <c r="B196" s="185" t="s">
        <v>184</v>
      </c>
      <c r="C196" s="63">
        <f t="shared" si="3"/>
        <v>-138484</v>
      </c>
      <c r="D196" s="63">
        <f t="shared" si="3"/>
        <v>-114891</v>
      </c>
      <c r="E196" s="63">
        <f t="shared" si="3"/>
        <v>-70263</v>
      </c>
      <c r="F196" s="63">
        <f t="shared" si="3"/>
        <v>-88973</v>
      </c>
      <c r="G196" s="63">
        <f t="shared" si="3"/>
        <v>-47706</v>
      </c>
      <c r="I196" s="186"/>
      <c r="K196" s="64">
        <f>ROUND(VLOOKUP($A196,'Contribution Allocation_Report'!$A$9:$D$311,4,FALSE)*$K$326,0)</f>
        <v>-158662</v>
      </c>
      <c r="L196" s="64">
        <f>ROUND(VLOOKUP($A196,'Contribution Allocation_Report'!$A$9:$D$311,4,FALSE)*$L$326,0)</f>
        <v>-115293</v>
      </c>
      <c r="M196" s="64">
        <f>ROUND(VLOOKUP($A196,'Contribution Allocation_Report'!$A$9:$D$311,4,FALSE)*$M$326,0)</f>
        <v>-69575</v>
      </c>
      <c r="N196" s="64">
        <f>ROUND(VLOOKUP($A196,'Contribution Allocation_Report'!$A$9:$D$311,4,FALSE)*$N$326,0)</f>
        <v>-104897</v>
      </c>
      <c r="O196" s="64">
        <f>ROUND(VLOOKUP($A196,'Contribution Allocation_Report'!$A$9:$D$311,4,FALSE)*$O$326,0)</f>
        <v>-59756</v>
      </c>
      <c r="Q196" s="64">
        <f>+K196+VLOOKUP(A196,'Change in Proportion Layers'!$A$8:$N$324,3,FALSE)+VLOOKUP(A196,'Change in Proportion Layers'!$A$8:$Y$324,10,FALSE)+VLOOKUP(A196,'Change in Proportion Layers'!$A$8:$Y$324,16,FALSE)+VLOOKUP(A196,'Change in Proportion Layers'!$A$8:$Y$324,21,FALSE)+VLOOKUP(A196,'Change in Proportion Layers'!$A$8:$Y$324,25,FALSE)</f>
        <v>-138484</v>
      </c>
      <c r="R196" s="64">
        <f>+L196+VLOOKUP(A196,'Change in Proportion Layers'!$A$8:$Y$324,4,FALSE)+VLOOKUP(A196,'Change in Proportion Layers'!$A$8:$Y$324,11,FALSE)+VLOOKUP(A196,'Change in Proportion Layers'!$A$8:$Y$324,17,FALSE)+VLOOKUP(A196,'Change in Proportion Layers'!$A$8:$Y$324,22,FALSE)</f>
        <v>-114891</v>
      </c>
      <c r="S196" s="64">
        <f>+M196+VLOOKUP(A196,'Change in Proportion Layers'!$A$8:$Y$324,5,FALSE)+VLOOKUP(A196,'Change in Proportion Layers'!$A$8:$Y$324,12,FALSE)+VLOOKUP(A196,'Change in Proportion Layers'!$A$8:$Y$324,18,FALSE)</f>
        <v>-70263</v>
      </c>
      <c r="T196" s="64">
        <f>+N196+VLOOKUP(A196,'Change in Proportion Layers'!$A$8:$Y$324,6,FALSE)+VLOOKUP(A196,'Change in Proportion Layers'!$A$8:$Y$324,13,FALSE)</f>
        <v>-88973</v>
      </c>
      <c r="U196" s="64">
        <f>+O196+VLOOKUP(A196,'Change in Proportion Layers'!$A$8:$Y$324,7,FALSE)-2</f>
        <v>-47706</v>
      </c>
      <c r="W196" s="64">
        <f>('OPEB Amounts_Report'!H195-'OPEB Amounts_Report'!M195)</f>
        <v>-2480228</v>
      </c>
      <c r="X196" s="129">
        <f>SUM(Q196:U196)-('OPEB Amounts_Report'!H196-'OPEB Amounts_Report'!M196)</f>
        <v>0</v>
      </c>
    </row>
    <row r="197" spans="1:24">
      <c r="A197" s="187">
        <v>29150</v>
      </c>
      <c r="B197" s="188" t="s">
        <v>185</v>
      </c>
      <c r="C197" s="5">
        <f t="shared" si="3"/>
        <v>-41094</v>
      </c>
      <c r="D197" s="5">
        <f t="shared" si="3"/>
        <v>-60505</v>
      </c>
      <c r="E197" s="5">
        <f t="shared" si="3"/>
        <v>-46976</v>
      </c>
      <c r="F197" s="5">
        <f t="shared" si="3"/>
        <v>-46337</v>
      </c>
      <c r="G197" s="5">
        <f t="shared" si="3"/>
        <v>-23363</v>
      </c>
      <c r="I197" s="186"/>
      <c r="K197" s="64">
        <f>ROUND(VLOOKUP($A197,'Contribution Allocation_Report'!$A$9:$D$311,4,FALSE)*$K$326,0)</f>
        <v>-40040</v>
      </c>
      <c r="L197" s="64">
        <f>ROUND(VLOOKUP($A197,'Contribution Allocation_Report'!$A$9:$D$311,4,FALSE)*$L$326,0)</f>
        <v>-29095</v>
      </c>
      <c r="M197" s="64">
        <f>ROUND(VLOOKUP($A197,'Contribution Allocation_Report'!$A$9:$D$311,4,FALSE)*$M$326,0)</f>
        <v>-17558</v>
      </c>
      <c r="N197" s="64">
        <f>ROUND(VLOOKUP($A197,'Contribution Allocation_Report'!$A$9:$D$311,4,FALSE)*$N$326,0)</f>
        <v>-26471</v>
      </c>
      <c r="O197" s="64">
        <f>ROUND(VLOOKUP($A197,'Contribution Allocation_Report'!$A$9:$D$311,4,FALSE)*$O$326,0)</f>
        <v>-15080</v>
      </c>
      <c r="Q197" s="64">
        <f>+K197+VLOOKUP(A197,'Change in Proportion Layers'!$A$8:$N$324,3,FALSE)+VLOOKUP(A197,'Change in Proportion Layers'!$A$8:$Y$324,10,FALSE)+VLOOKUP(A197,'Change in Proportion Layers'!$A$8:$Y$324,16,FALSE)+VLOOKUP(A197,'Change in Proportion Layers'!$A$8:$Y$324,21,FALSE)+VLOOKUP(A197,'Change in Proportion Layers'!$A$8:$Y$324,25,FALSE)</f>
        <v>-41094</v>
      </c>
      <c r="R197" s="64">
        <f>+L197+VLOOKUP(A197,'Change in Proportion Layers'!$A$8:$Y$324,4,FALSE)+VLOOKUP(A197,'Change in Proportion Layers'!$A$8:$Y$324,11,FALSE)+VLOOKUP(A197,'Change in Proportion Layers'!$A$8:$Y$324,17,FALSE)+VLOOKUP(A197,'Change in Proportion Layers'!$A$8:$Y$324,22,FALSE)</f>
        <v>-60505</v>
      </c>
      <c r="S197" s="64">
        <f>+M197+VLOOKUP(A197,'Change in Proportion Layers'!$A$8:$Y$324,5,FALSE)+VLOOKUP(A197,'Change in Proportion Layers'!$A$8:$Y$324,12,FALSE)+VLOOKUP(A197,'Change in Proportion Layers'!$A$8:$Y$324,18,FALSE)</f>
        <v>-46976</v>
      </c>
      <c r="T197" s="64">
        <f>+N197+VLOOKUP(A197,'Change in Proportion Layers'!$A$8:$Y$324,6,FALSE)+VLOOKUP(A197,'Change in Proportion Layers'!$A$8:$Y$324,13,FALSE)</f>
        <v>-46337</v>
      </c>
      <c r="U197" s="64">
        <f>+O197+VLOOKUP(A197,'Change in Proportion Layers'!$A$8:$Y$324,7,FALSE)</f>
        <v>-23363</v>
      </c>
      <c r="W197" s="64">
        <f>('OPEB Amounts_Report'!H196-'OPEB Amounts_Report'!M196)</f>
        <v>-460317</v>
      </c>
      <c r="X197" s="129">
        <f>SUM(Q197:U197)-('OPEB Amounts_Report'!H197-'OPEB Amounts_Report'!M197)</f>
        <v>0</v>
      </c>
    </row>
    <row r="198" spans="1:24">
      <c r="A198" s="184">
        <v>32118</v>
      </c>
      <c r="B198" s="185" t="s">
        <v>187</v>
      </c>
      <c r="C198" s="63">
        <f t="shared" si="3"/>
        <v>245438</v>
      </c>
      <c r="D198" s="63">
        <f t="shared" si="3"/>
        <v>266845</v>
      </c>
      <c r="E198" s="63">
        <f t="shared" si="3"/>
        <v>334191</v>
      </c>
      <c r="F198" s="63">
        <f t="shared" si="3"/>
        <v>100771</v>
      </c>
      <c r="G198" s="63">
        <f t="shared" si="3"/>
        <v>-114897</v>
      </c>
      <c r="I198" s="186"/>
      <c r="K198" s="64">
        <f>ROUND(VLOOKUP($A198,'Contribution Allocation_Report'!$A$9:$D$311,4,FALSE)*$K$326,0)</f>
        <v>-480937</v>
      </c>
      <c r="L198" s="64">
        <f>ROUND(VLOOKUP($A198,'Contribution Allocation_Report'!$A$9:$D$311,4,FALSE)*$L$326,0)</f>
        <v>-349476</v>
      </c>
      <c r="M198" s="64">
        <f>ROUND(VLOOKUP($A198,'Contribution Allocation_Report'!$A$9:$D$311,4,FALSE)*$M$326,0)</f>
        <v>-210897</v>
      </c>
      <c r="N198" s="64">
        <f>ROUND(VLOOKUP($A198,'Contribution Allocation_Report'!$A$9:$D$311,4,FALSE)*$N$326,0)</f>
        <v>-317963</v>
      </c>
      <c r="O198" s="64">
        <f>ROUND(VLOOKUP($A198,'Contribution Allocation_Report'!$A$9:$D$311,4,FALSE)*$O$326,0)</f>
        <v>-181134</v>
      </c>
      <c r="Q198" s="64">
        <f>+K198+VLOOKUP(A198,'Change in Proportion Layers'!$A$8:$N$324,3,FALSE)+VLOOKUP(A198,'Change in Proportion Layers'!$A$8:$Y$324,10,FALSE)+VLOOKUP(A198,'Change in Proportion Layers'!$A$8:$Y$324,16,FALSE)+VLOOKUP(A198,'Change in Proportion Layers'!$A$8:$Y$324,21,FALSE)+VLOOKUP(A198,'Change in Proportion Layers'!$A$8:$Y$324,25,FALSE)</f>
        <v>245438</v>
      </c>
      <c r="R198" s="64">
        <f>+L198+VLOOKUP(A198,'Change in Proportion Layers'!$A$8:$Y$324,4,FALSE)+VLOOKUP(A198,'Change in Proportion Layers'!$A$8:$Y$324,11,FALSE)+VLOOKUP(A198,'Change in Proportion Layers'!$A$8:$Y$324,17,FALSE)+VLOOKUP(A198,'Change in Proportion Layers'!$A$8:$Y$324,22,FALSE)</f>
        <v>266845</v>
      </c>
      <c r="S198" s="64">
        <f>+M198+VLOOKUP(A198,'Change in Proportion Layers'!$A$8:$Y$324,5,FALSE)+VLOOKUP(A198,'Change in Proportion Layers'!$A$8:$Y$324,12,FALSE)+VLOOKUP(A198,'Change in Proportion Layers'!$A$8:$Y$324,18,FALSE)</f>
        <v>334191</v>
      </c>
      <c r="T198" s="64">
        <f>+N198+VLOOKUP(A198,'Change in Proportion Layers'!$A$8:$Y$324,6,FALSE)+VLOOKUP(A198,'Change in Proportion Layers'!$A$8:$Y$324,13,FALSE)</f>
        <v>100771</v>
      </c>
      <c r="U198" s="64">
        <f>+O198+VLOOKUP(A198,'Change in Proportion Layers'!$A$8:$Y$324,7,FALSE)-1</f>
        <v>-114897</v>
      </c>
      <c r="W198" s="64">
        <f>('OPEB Amounts_Report'!H198-'OPEB Amounts_Report'!M198)</f>
        <v>832348</v>
      </c>
      <c r="X198" s="129">
        <f>SUM(Q198:U198)-('OPEB Amounts_Report'!H198-'OPEB Amounts_Report'!M198)</f>
        <v>0</v>
      </c>
    </row>
    <row r="199" spans="1:24">
      <c r="A199" s="187">
        <v>12039</v>
      </c>
      <c r="B199" s="188" t="s">
        <v>188</v>
      </c>
      <c r="C199" s="5">
        <f t="shared" si="3"/>
        <v>-504687</v>
      </c>
      <c r="D199" s="5">
        <f t="shared" si="3"/>
        <v>-390862</v>
      </c>
      <c r="E199" s="5">
        <f t="shared" si="3"/>
        <v>-276924</v>
      </c>
      <c r="F199" s="5">
        <f t="shared" si="3"/>
        <v>-308563</v>
      </c>
      <c r="G199" s="5">
        <f t="shared" si="3"/>
        <v>-156609</v>
      </c>
      <c r="I199" s="186"/>
      <c r="K199" s="64">
        <f>ROUND(VLOOKUP($A199,'Contribution Allocation_Report'!$A$9:$D$311,4,FALSE)*$K$326,0)</f>
        <v>-405125</v>
      </c>
      <c r="L199" s="64">
        <f>ROUND(VLOOKUP($A199,'Contribution Allocation_Report'!$A$9:$D$311,4,FALSE)*$L$326,0)</f>
        <v>-294386</v>
      </c>
      <c r="M199" s="64">
        <f>ROUND(VLOOKUP($A199,'Contribution Allocation_Report'!$A$9:$D$311,4,FALSE)*$M$326,0)</f>
        <v>-177652</v>
      </c>
      <c r="N199" s="64">
        <f>ROUND(VLOOKUP($A199,'Contribution Allocation_Report'!$A$9:$D$311,4,FALSE)*$N$326,0)</f>
        <v>-267841</v>
      </c>
      <c r="O199" s="64">
        <f>ROUND(VLOOKUP($A199,'Contribution Allocation_Report'!$A$9:$D$311,4,FALSE)*$O$326,0)</f>
        <v>-152581</v>
      </c>
      <c r="Q199" s="64">
        <f>+K199+VLOOKUP(A199,'Change in Proportion Layers'!$A$8:$N$324,3,FALSE)+VLOOKUP(A199,'Change in Proportion Layers'!$A$8:$Y$324,10,FALSE)+VLOOKUP(A199,'Change in Proportion Layers'!$A$8:$Y$324,16,FALSE)+VLOOKUP(A199,'Change in Proportion Layers'!$A$8:$Y$324,21,FALSE)+VLOOKUP(A199,'Change in Proportion Layers'!$A$8:$Y$324,25,FALSE)</f>
        <v>-504687</v>
      </c>
      <c r="R199" s="64">
        <f>+L199+VLOOKUP(A199,'Change in Proportion Layers'!$A$8:$Y$324,4,FALSE)+VLOOKUP(A199,'Change in Proportion Layers'!$A$8:$Y$324,11,FALSE)+VLOOKUP(A199,'Change in Proportion Layers'!$A$8:$Y$324,17,FALSE)+VLOOKUP(A199,'Change in Proportion Layers'!$A$8:$Y$324,22,FALSE)</f>
        <v>-390862</v>
      </c>
      <c r="S199" s="64">
        <f>+M199+VLOOKUP(A199,'Change in Proportion Layers'!$A$8:$Y$324,5,FALSE)+VLOOKUP(A199,'Change in Proportion Layers'!$A$8:$Y$324,12,FALSE)+VLOOKUP(A199,'Change in Proportion Layers'!$A$8:$Y$324,18,FALSE)</f>
        <v>-276924</v>
      </c>
      <c r="T199" s="64">
        <f>+N199+VLOOKUP(A199,'Change in Proportion Layers'!$A$8:$Y$324,6,FALSE)+VLOOKUP(A199,'Change in Proportion Layers'!$A$8:$Y$324,13,FALSE)</f>
        <v>-308563</v>
      </c>
      <c r="U199" s="64">
        <f>+O199+VLOOKUP(A199,'Change in Proportion Layers'!$A$8:$Y$324,7,FALSE)+1</f>
        <v>-156609</v>
      </c>
      <c r="W199" s="64">
        <f>('OPEB Amounts_Report'!H199-'OPEB Amounts_Report'!M199)</f>
        <v>-1637645</v>
      </c>
      <c r="X199" s="129">
        <f>SUM(Q199:U199)-('OPEB Amounts_Report'!H199-'OPEB Amounts_Report'!M199)</f>
        <v>0</v>
      </c>
    </row>
    <row r="200" spans="1:24">
      <c r="A200" s="184">
        <v>12150</v>
      </c>
      <c r="B200" s="185" t="s">
        <v>189</v>
      </c>
      <c r="C200" s="63">
        <f t="shared" si="3"/>
        <v>-45527</v>
      </c>
      <c r="D200" s="63">
        <f t="shared" si="3"/>
        <v>-55757</v>
      </c>
      <c r="E200" s="63">
        <f t="shared" si="3"/>
        <v>-44681</v>
      </c>
      <c r="F200" s="63">
        <f t="shared" si="3"/>
        <v>-70660</v>
      </c>
      <c r="G200" s="63">
        <f t="shared" si="3"/>
        <v>-33355</v>
      </c>
      <c r="I200" s="186"/>
      <c r="K200" s="64">
        <f>ROUND(VLOOKUP($A200,'Contribution Allocation_Report'!$A$9:$D$311,4,FALSE)*$K$326,0)</f>
        <v>-75739</v>
      </c>
      <c r="L200" s="64">
        <f>ROUND(VLOOKUP($A200,'Contribution Allocation_Report'!$A$9:$D$311,4,FALSE)*$L$326,0)</f>
        <v>-55036</v>
      </c>
      <c r="M200" s="64">
        <f>ROUND(VLOOKUP($A200,'Contribution Allocation_Report'!$A$9:$D$311,4,FALSE)*$M$326,0)</f>
        <v>-33213</v>
      </c>
      <c r="N200" s="64">
        <f>ROUND(VLOOKUP($A200,'Contribution Allocation_Report'!$A$9:$D$311,4,FALSE)*$N$326,0)</f>
        <v>-50074</v>
      </c>
      <c r="O200" s="64">
        <f>ROUND(VLOOKUP($A200,'Contribution Allocation_Report'!$A$9:$D$311,4,FALSE)*$O$326,0)</f>
        <v>-28525</v>
      </c>
      <c r="Q200" s="64">
        <f>+K200+VLOOKUP(A200,'Change in Proportion Layers'!$A$8:$N$324,3,FALSE)+VLOOKUP(A200,'Change in Proportion Layers'!$A$8:$Y$324,10,FALSE)+VLOOKUP(A200,'Change in Proportion Layers'!$A$8:$Y$324,16,FALSE)+VLOOKUP(A200,'Change in Proportion Layers'!$A$8:$Y$324,21,FALSE)+VLOOKUP(A200,'Change in Proportion Layers'!$A$8:$Y$324,25,FALSE)</f>
        <v>-45527</v>
      </c>
      <c r="R200" s="64">
        <f>+L200+VLOOKUP(A200,'Change in Proportion Layers'!$A$8:$Y$324,4,FALSE)+VLOOKUP(A200,'Change in Proportion Layers'!$A$8:$Y$324,11,FALSE)+VLOOKUP(A200,'Change in Proportion Layers'!$A$8:$Y$324,17,FALSE)+VLOOKUP(A200,'Change in Proportion Layers'!$A$8:$Y$324,22,FALSE)</f>
        <v>-55757</v>
      </c>
      <c r="S200" s="64">
        <f>+M200+VLOOKUP(A200,'Change in Proportion Layers'!$A$8:$Y$324,5,FALSE)+VLOOKUP(A200,'Change in Proportion Layers'!$A$8:$Y$324,12,FALSE)+VLOOKUP(A200,'Change in Proportion Layers'!$A$8:$Y$324,18,FALSE)</f>
        <v>-44681</v>
      </c>
      <c r="T200" s="64">
        <f>+N200+VLOOKUP(A200,'Change in Proportion Layers'!$A$8:$Y$324,6,FALSE)+VLOOKUP(A200,'Change in Proportion Layers'!$A$8:$Y$324,13,FALSE)</f>
        <v>-70660</v>
      </c>
      <c r="U200" s="64">
        <f>+O200+VLOOKUP(A200,'Change in Proportion Layers'!$A$8:$Y$324,7,FALSE)</f>
        <v>-33355</v>
      </c>
      <c r="W200" s="64">
        <f>('OPEB Amounts_Report'!H200-'OPEB Amounts_Report'!M200)</f>
        <v>-249980</v>
      </c>
      <c r="X200" s="129">
        <f>SUM(Q200:U200)-('OPEB Amounts_Report'!H200-'OPEB Amounts_Report'!M200)</f>
        <v>0</v>
      </c>
    </row>
    <row r="201" spans="1:24">
      <c r="A201" s="187">
        <v>20060</v>
      </c>
      <c r="B201" s="188" t="s">
        <v>190</v>
      </c>
      <c r="C201" s="5">
        <f t="shared" si="3"/>
        <v>-257125</v>
      </c>
      <c r="D201" s="5">
        <f t="shared" si="3"/>
        <v>-362273</v>
      </c>
      <c r="E201" s="5">
        <f t="shared" si="3"/>
        <v>-152948</v>
      </c>
      <c r="F201" s="5">
        <f t="shared" si="3"/>
        <v>-196772</v>
      </c>
      <c r="G201" s="5">
        <f t="shared" si="3"/>
        <v>-88559</v>
      </c>
      <c r="I201" s="186"/>
      <c r="K201" s="64">
        <f>ROUND(VLOOKUP($A201,'Contribution Allocation_Report'!$A$9:$D$311,4,FALSE)*$K$326,0)</f>
        <v>-309035</v>
      </c>
      <c r="L201" s="64">
        <f>ROUND(VLOOKUP($A201,'Contribution Allocation_Report'!$A$9:$D$311,4,FALSE)*$L$326,0)</f>
        <v>-224563</v>
      </c>
      <c r="M201" s="64">
        <f>ROUND(VLOOKUP($A201,'Contribution Allocation_Report'!$A$9:$D$311,4,FALSE)*$M$326,0)</f>
        <v>-135516</v>
      </c>
      <c r="N201" s="64">
        <f>ROUND(VLOOKUP($A201,'Contribution Allocation_Report'!$A$9:$D$311,4,FALSE)*$N$326,0)</f>
        <v>-204313</v>
      </c>
      <c r="O201" s="64">
        <f>ROUND(VLOOKUP($A201,'Contribution Allocation_Report'!$A$9:$D$311,4,FALSE)*$O$326,0)</f>
        <v>-116391</v>
      </c>
      <c r="Q201" s="64">
        <f>+K201+VLOOKUP(A201,'Change in Proportion Layers'!$A$8:$N$324,3,FALSE)+VLOOKUP(A201,'Change in Proportion Layers'!$A$8:$Y$324,10,FALSE)+VLOOKUP(A201,'Change in Proportion Layers'!$A$8:$Y$324,16,FALSE)+VLOOKUP(A201,'Change in Proportion Layers'!$A$8:$Y$324,21,FALSE)+VLOOKUP(A201,'Change in Proportion Layers'!$A$8:$Y$324,25,FALSE)</f>
        <v>-257125</v>
      </c>
      <c r="R201" s="64">
        <f>+L201+VLOOKUP(A201,'Change in Proportion Layers'!$A$8:$Y$324,4,FALSE)+VLOOKUP(A201,'Change in Proportion Layers'!$A$8:$Y$324,11,FALSE)+VLOOKUP(A201,'Change in Proportion Layers'!$A$8:$Y$324,17,FALSE)+VLOOKUP(A201,'Change in Proportion Layers'!$A$8:$Y$324,22,FALSE)</f>
        <v>-362273</v>
      </c>
      <c r="S201" s="64">
        <f>+M201+VLOOKUP(A201,'Change in Proportion Layers'!$A$8:$Y$324,5,FALSE)+VLOOKUP(A201,'Change in Proportion Layers'!$A$8:$Y$324,12,FALSE)+VLOOKUP(A201,'Change in Proportion Layers'!$A$8:$Y$324,18,FALSE)</f>
        <v>-152948</v>
      </c>
      <c r="T201" s="64">
        <f>+N201+VLOOKUP(A201,'Change in Proportion Layers'!$A$8:$Y$324,6,FALSE)+VLOOKUP(A201,'Change in Proportion Layers'!$A$8:$Y$324,13,FALSE)</f>
        <v>-196772</v>
      </c>
      <c r="U201" s="64">
        <f>+O201+VLOOKUP(A201,'Change in Proportion Layers'!$A$8:$Y$324,7,FALSE)</f>
        <v>-88559</v>
      </c>
      <c r="W201" s="64">
        <f>('OPEB Amounts_Report'!H201-'OPEB Amounts_Report'!M201)</f>
        <v>-1057677</v>
      </c>
      <c r="X201" s="129">
        <f>SUM(Q201:U201)-('OPEB Amounts_Report'!H201-'OPEB Amounts_Report'!M201)</f>
        <v>0</v>
      </c>
    </row>
    <row r="202" spans="1:24">
      <c r="A202" s="184">
        <v>1001</v>
      </c>
      <c r="B202" s="185" t="s">
        <v>191</v>
      </c>
      <c r="C202" s="63">
        <f t="shared" si="3"/>
        <v>-1165179</v>
      </c>
      <c r="D202" s="63">
        <f t="shared" si="3"/>
        <v>-1097956</v>
      </c>
      <c r="E202" s="63">
        <f t="shared" si="3"/>
        <v>-689719</v>
      </c>
      <c r="F202" s="63">
        <f t="shared" si="3"/>
        <v>-840408</v>
      </c>
      <c r="G202" s="63">
        <f t="shared" si="3"/>
        <v>-197626</v>
      </c>
      <c r="I202" s="186"/>
      <c r="K202" s="64">
        <f>ROUND(VLOOKUP($A202,'Contribution Allocation_Report'!$A$9:$D$311,4,FALSE)*$K$326,0)</f>
        <v>-902866</v>
      </c>
      <c r="L202" s="64">
        <f>ROUND(VLOOKUP($A202,'Contribution Allocation_Report'!$A$9:$D$311,4,FALSE)*$L$326,0)</f>
        <v>-656073</v>
      </c>
      <c r="M202" s="64">
        <f>ROUND(VLOOKUP($A202,'Contribution Allocation_Report'!$A$9:$D$311,4,FALSE)*$M$326,0)</f>
        <v>-395917</v>
      </c>
      <c r="N202" s="64">
        <f>ROUND(VLOOKUP($A202,'Contribution Allocation_Report'!$A$9:$D$311,4,FALSE)*$N$326,0)</f>
        <v>-596913</v>
      </c>
      <c r="O202" s="64">
        <f>ROUND(VLOOKUP($A202,'Contribution Allocation_Report'!$A$9:$D$311,4,FALSE)*$O$326,0)</f>
        <v>-340043</v>
      </c>
      <c r="Q202" s="64">
        <f>+K202+VLOOKUP(A202,'Change in Proportion Layers'!$A$8:$N$324,3,FALSE)+VLOOKUP(A202,'Change in Proportion Layers'!$A$8:$Y$324,10,FALSE)+VLOOKUP(A202,'Change in Proportion Layers'!$A$8:$Y$324,16,FALSE)+VLOOKUP(A202,'Change in Proportion Layers'!$A$8:$Y$324,21,FALSE)+VLOOKUP(A202,'Change in Proportion Layers'!$A$8:$Y$324,25,FALSE)</f>
        <v>-1165179</v>
      </c>
      <c r="R202" s="64">
        <f>+L202+VLOOKUP(A202,'Change in Proportion Layers'!$A$8:$Y$324,4,FALSE)+VLOOKUP(A202,'Change in Proportion Layers'!$A$8:$Y$324,11,FALSE)+VLOOKUP(A202,'Change in Proportion Layers'!$A$8:$Y$324,17,FALSE)+VLOOKUP(A202,'Change in Proportion Layers'!$A$8:$Y$324,22,FALSE)</f>
        <v>-1097956</v>
      </c>
      <c r="S202" s="64">
        <f>+M202+VLOOKUP(A202,'Change in Proportion Layers'!$A$8:$Y$324,5,FALSE)+VLOOKUP(A202,'Change in Proportion Layers'!$A$8:$Y$324,12,FALSE)+VLOOKUP(A202,'Change in Proportion Layers'!$A$8:$Y$324,18,FALSE)</f>
        <v>-689719</v>
      </c>
      <c r="T202" s="64">
        <f>+N202+VLOOKUP(A202,'Change in Proportion Layers'!$A$8:$Y$324,6,FALSE)+VLOOKUP(A202,'Change in Proportion Layers'!$A$8:$Y$324,13,FALSE)</f>
        <v>-840408</v>
      </c>
      <c r="U202" s="64">
        <f>+O202+VLOOKUP(A202,'Change in Proportion Layers'!$A$8:$Y$324,7,FALSE)-1</f>
        <v>-197626</v>
      </c>
      <c r="W202" s="64">
        <f>('OPEB Amounts_Report'!H202-'OPEB Amounts_Report'!M202)</f>
        <v>-3990888</v>
      </c>
      <c r="X202" s="129">
        <f>SUM(Q202:U202)-('OPEB Amounts_Report'!H202-'OPEB Amounts_Report'!M202)</f>
        <v>0</v>
      </c>
    </row>
    <row r="203" spans="1:24">
      <c r="A203" s="187">
        <v>11035</v>
      </c>
      <c r="B203" s="188" t="s">
        <v>192</v>
      </c>
      <c r="C203" s="5">
        <f t="shared" si="3"/>
        <v>-1472428</v>
      </c>
      <c r="D203" s="5">
        <f t="shared" si="3"/>
        <v>-1005531</v>
      </c>
      <c r="E203" s="5">
        <f t="shared" si="3"/>
        <v>-607680</v>
      </c>
      <c r="F203" s="5">
        <f t="shared" si="3"/>
        <v>-1148532</v>
      </c>
      <c r="G203" s="5">
        <f t="shared" si="3"/>
        <v>-735486</v>
      </c>
      <c r="I203" s="186"/>
      <c r="K203" s="64">
        <f>ROUND(VLOOKUP($A203,'Contribution Allocation_Report'!$A$9:$D$311,4,FALSE)*$K$326,0)</f>
        <v>-1819439</v>
      </c>
      <c r="L203" s="64">
        <f>ROUND(VLOOKUP($A203,'Contribution Allocation_Report'!$A$9:$D$311,4,FALSE)*$L$326,0)</f>
        <v>-1322107</v>
      </c>
      <c r="M203" s="64">
        <f>ROUND(VLOOKUP($A203,'Contribution Allocation_Report'!$A$9:$D$311,4,FALSE)*$M$326,0)</f>
        <v>-797846</v>
      </c>
      <c r="N203" s="64">
        <f>ROUND(VLOOKUP($A203,'Contribution Allocation_Report'!$A$9:$D$311,4,FALSE)*$N$326,0)</f>
        <v>-1202888</v>
      </c>
      <c r="O203" s="64">
        <f>ROUND(VLOOKUP($A203,'Contribution Allocation_Report'!$A$9:$D$311,4,FALSE)*$O$326,0)</f>
        <v>-685249</v>
      </c>
      <c r="Q203" s="64">
        <f>+K203+VLOOKUP(A203,'Change in Proportion Layers'!$A$8:$N$324,3,FALSE)+VLOOKUP(A203,'Change in Proportion Layers'!$A$8:$Y$324,10,FALSE)+VLOOKUP(A203,'Change in Proportion Layers'!$A$8:$Y$324,16,FALSE)+VLOOKUP(A203,'Change in Proportion Layers'!$A$8:$Y$324,21,FALSE)+VLOOKUP(A203,'Change in Proportion Layers'!$A$8:$Y$324,25,FALSE)</f>
        <v>-1472428</v>
      </c>
      <c r="R203" s="64">
        <f>+L203+VLOOKUP(A203,'Change in Proportion Layers'!$A$8:$Y$324,4,FALSE)+VLOOKUP(A203,'Change in Proportion Layers'!$A$8:$Y$324,11,FALSE)+VLOOKUP(A203,'Change in Proportion Layers'!$A$8:$Y$324,17,FALSE)+VLOOKUP(A203,'Change in Proportion Layers'!$A$8:$Y$324,22,FALSE)</f>
        <v>-1005531</v>
      </c>
      <c r="S203" s="64">
        <f>+M203+VLOOKUP(A203,'Change in Proportion Layers'!$A$8:$Y$324,5,FALSE)+VLOOKUP(A203,'Change in Proportion Layers'!$A$8:$Y$324,12,FALSE)+VLOOKUP(A203,'Change in Proportion Layers'!$A$8:$Y$324,18,FALSE)</f>
        <v>-607680</v>
      </c>
      <c r="T203" s="64">
        <f>+N203+VLOOKUP(A203,'Change in Proportion Layers'!$A$8:$Y$324,6,FALSE)+VLOOKUP(A203,'Change in Proportion Layers'!$A$8:$Y$324,13,FALSE)</f>
        <v>-1148532</v>
      </c>
      <c r="U203" s="64">
        <f>+O203+VLOOKUP(A203,'Change in Proportion Layers'!$A$8:$Y$324,7,FALSE)+1</f>
        <v>-735486</v>
      </c>
      <c r="W203" s="64">
        <f>('OPEB Amounts_Report'!H203-'OPEB Amounts_Report'!M203)</f>
        <v>-4969657</v>
      </c>
      <c r="X203" s="129">
        <f>SUM(Q203:U203)-('OPEB Amounts_Report'!H203-'OPEB Amounts_Report'!M203)</f>
        <v>0</v>
      </c>
    </row>
    <row r="204" spans="1:24">
      <c r="A204" s="184">
        <v>2320</v>
      </c>
      <c r="B204" s="185" t="s">
        <v>193</v>
      </c>
      <c r="C204" s="63">
        <f t="shared" si="3"/>
        <v>-224969</v>
      </c>
      <c r="D204" s="63">
        <f t="shared" si="3"/>
        <v>-160130</v>
      </c>
      <c r="E204" s="63">
        <f t="shared" si="3"/>
        <v>-94156</v>
      </c>
      <c r="F204" s="63">
        <f t="shared" si="3"/>
        <v>-154247</v>
      </c>
      <c r="G204" s="63">
        <f t="shared" si="3"/>
        <v>-95906</v>
      </c>
      <c r="I204" s="186"/>
      <c r="K204" s="64">
        <f>ROUND(VLOOKUP($A204,'Contribution Allocation_Report'!$A$9:$D$311,4,FALSE)*$K$326,0)</f>
        <v>-211354</v>
      </c>
      <c r="L204" s="64">
        <f>ROUND(VLOOKUP($A204,'Contribution Allocation_Report'!$A$9:$D$311,4,FALSE)*$L$326,0)</f>
        <v>-153582</v>
      </c>
      <c r="M204" s="64">
        <f>ROUND(VLOOKUP($A204,'Contribution Allocation_Report'!$A$9:$D$311,4,FALSE)*$M$326,0)</f>
        <v>-92681</v>
      </c>
      <c r="N204" s="64">
        <f>ROUND(VLOOKUP($A204,'Contribution Allocation_Report'!$A$9:$D$311,4,FALSE)*$N$326,0)</f>
        <v>-139733</v>
      </c>
      <c r="O204" s="64">
        <f>ROUND(VLOOKUP($A204,'Contribution Allocation_Report'!$A$9:$D$311,4,FALSE)*$O$326,0)</f>
        <v>-79602</v>
      </c>
      <c r="Q204" s="64">
        <f>+K204+VLOOKUP(A204,'Change in Proportion Layers'!$A$8:$N$324,3,FALSE)+VLOOKUP(A204,'Change in Proportion Layers'!$A$8:$Y$324,10,FALSE)+VLOOKUP(A204,'Change in Proportion Layers'!$A$8:$Y$324,16,FALSE)+VLOOKUP(A204,'Change in Proportion Layers'!$A$8:$Y$324,21,FALSE)+VLOOKUP(A204,'Change in Proportion Layers'!$A$8:$Y$324,25,FALSE)</f>
        <v>-224969</v>
      </c>
      <c r="R204" s="64">
        <f>+L204+VLOOKUP(A204,'Change in Proportion Layers'!$A$8:$Y$324,4,FALSE)+VLOOKUP(A204,'Change in Proportion Layers'!$A$8:$Y$324,11,FALSE)+VLOOKUP(A204,'Change in Proportion Layers'!$A$8:$Y$324,17,FALSE)+VLOOKUP(A204,'Change in Proportion Layers'!$A$8:$Y$324,22,FALSE)</f>
        <v>-160130</v>
      </c>
      <c r="S204" s="64">
        <f>+M204+VLOOKUP(A204,'Change in Proportion Layers'!$A$8:$Y$324,5,FALSE)+VLOOKUP(A204,'Change in Proportion Layers'!$A$8:$Y$324,12,FALSE)+VLOOKUP(A204,'Change in Proportion Layers'!$A$8:$Y$324,18,FALSE)</f>
        <v>-94156</v>
      </c>
      <c r="T204" s="64">
        <f>+N204+VLOOKUP(A204,'Change in Proportion Layers'!$A$8:$Y$324,6,FALSE)+VLOOKUP(A204,'Change in Proportion Layers'!$A$8:$Y$324,13,FALSE)</f>
        <v>-154247</v>
      </c>
      <c r="U204" s="64">
        <f>+O204+VLOOKUP(A204,'Change in Proportion Layers'!$A$8:$Y$324,7,FALSE)+1</f>
        <v>-95906</v>
      </c>
      <c r="W204" s="64">
        <f>('OPEB Amounts_Report'!H204-'OPEB Amounts_Report'!M204)</f>
        <v>-729408</v>
      </c>
      <c r="X204" s="129">
        <f>SUM(Q204:U204)-('OPEB Amounts_Report'!H204-'OPEB Amounts_Report'!M204)</f>
        <v>0</v>
      </c>
    </row>
    <row r="205" spans="1:24">
      <c r="A205" s="187">
        <v>28084</v>
      </c>
      <c r="B205" s="188" t="s">
        <v>194</v>
      </c>
      <c r="C205" s="5">
        <f t="shared" si="3"/>
        <v>-157447</v>
      </c>
      <c r="D205" s="5">
        <f t="shared" si="3"/>
        <v>-112622</v>
      </c>
      <c r="E205" s="5">
        <f t="shared" si="3"/>
        <v>-53815</v>
      </c>
      <c r="F205" s="5">
        <f t="shared" si="3"/>
        <v>-100824</v>
      </c>
      <c r="G205" s="5">
        <f t="shared" si="3"/>
        <v>-61209</v>
      </c>
      <c r="I205" s="186"/>
      <c r="K205" s="64">
        <f>ROUND(VLOOKUP($A205,'Contribution Allocation_Report'!$A$9:$D$311,4,FALSE)*$K$326,0)</f>
        <v>-181059</v>
      </c>
      <c r="L205" s="64">
        <f>ROUND(VLOOKUP($A205,'Contribution Allocation_Report'!$A$9:$D$311,4,FALSE)*$L$326,0)</f>
        <v>-131567</v>
      </c>
      <c r="M205" s="64">
        <f>ROUND(VLOOKUP($A205,'Contribution Allocation_Report'!$A$9:$D$311,4,FALSE)*$M$326,0)</f>
        <v>-79396</v>
      </c>
      <c r="N205" s="64">
        <f>ROUND(VLOOKUP($A205,'Contribution Allocation_Report'!$A$9:$D$311,4,FALSE)*$N$326,0)</f>
        <v>-119703</v>
      </c>
      <c r="O205" s="64">
        <f>ROUND(VLOOKUP($A205,'Contribution Allocation_Report'!$A$9:$D$311,4,FALSE)*$O$326,0)</f>
        <v>-68191</v>
      </c>
      <c r="Q205" s="64">
        <f>+K205+VLOOKUP(A205,'Change in Proportion Layers'!$A$8:$N$324,3,FALSE)+VLOOKUP(A205,'Change in Proportion Layers'!$A$8:$Y$324,10,FALSE)+VLOOKUP(A205,'Change in Proportion Layers'!$A$8:$Y$324,16,FALSE)+VLOOKUP(A205,'Change in Proportion Layers'!$A$8:$Y$324,21,FALSE)+VLOOKUP(A205,'Change in Proportion Layers'!$A$8:$Y$324,25,FALSE)</f>
        <v>-157447</v>
      </c>
      <c r="R205" s="64">
        <f>+L205+VLOOKUP(A205,'Change in Proportion Layers'!$A$8:$Y$324,4,FALSE)+VLOOKUP(A205,'Change in Proportion Layers'!$A$8:$Y$324,11,FALSE)+VLOOKUP(A205,'Change in Proportion Layers'!$A$8:$Y$324,17,FALSE)+VLOOKUP(A205,'Change in Proportion Layers'!$A$8:$Y$324,22,FALSE)</f>
        <v>-112622</v>
      </c>
      <c r="S205" s="64">
        <f>+M205+VLOOKUP(A205,'Change in Proportion Layers'!$A$8:$Y$324,5,FALSE)+VLOOKUP(A205,'Change in Proportion Layers'!$A$8:$Y$324,12,FALSE)+VLOOKUP(A205,'Change in Proportion Layers'!$A$8:$Y$324,18,FALSE)</f>
        <v>-53815</v>
      </c>
      <c r="T205" s="64">
        <f>+N205+VLOOKUP(A205,'Change in Proportion Layers'!$A$8:$Y$324,6,FALSE)+VLOOKUP(A205,'Change in Proportion Layers'!$A$8:$Y$324,13,FALSE)</f>
        <v>-100824</v>
      </c>
      <c r="U205" s="64">
        <f>+O205+VLOOKUP(A205,'Change in Proportion Layers'!$A$8:$Y$324,7,FALSE)-1</f>
        <v>-61209</v>
      </c>
      <c r="W205" s="64">
        <f>('OPEB Amounts_Report'!H205-'OPEB Amounts_Report'!M205)</f>
        <v>-485917</v>
      </c>
      <c r="X205" s="129">
        <f>SUM(Q205:U205)-('OPEB Amounts_Report'!H205-'OPEB Amounts_Report'!M205)</f>
        <v>0</v>
      </c>
    </row>
    <row r="206" spans="1:24">
      <c r="A206" s="184">
        <v>20125</v>
      </c>
      <c r="B206" s="185" t="s">
        <v>195</v>
      </c>
      <c r="C206" s="63">
        <f t="shared" si="3"/>
        <v>-388610</v>
      </c>
      <c r="D206" s="63">
        <f t="shared" si="3"/>
        <v>-281099</v>
      </c>
      <c r="E206" s="63">
        <f t="shared" si="3"/>
        <v>-157548</v>
      </c>
      <c r="F206" s="63">
        <f t="shared" si="3"/>
        <v>-182256</v>
      </c>
      <c r="G206" s="63">
        <f t="shared" si="3"/>
        <v>-56746</v>
      </c>
      <c r="I206" s="186"/>
      <c r="K206" s="64">
        <f>ROUND(VLOOKUP($A206,'Contribution Allocation_Report'!$A$9:$D$311,4,FALSE)*$K$326,0)</f>
        <v>-225805</v>
      </c>
      <c r="L206" s="64">
        <f>ROUND(VLOOKUP($A206,'Contribution Allocation_Report'!$A$9:$D$311,4,FALSE)*$L$326,0)</f>
        <v>-164082</v>
      </c>
      <c r="M206" s="64">
        <f>ROUND(VLOOKUP($A206,'Contribution Allocation_Report'!$A$9:$D$311,4,FALSE)*$M$326,0)</f>
        <v>-99018</v>
      </c>
      <c r="N206" s="64">
        <f>ROUND(VLOOKUP($A206,'Contribution Allocation_Report'!$A$9:$D$311,4,FALSE)*$N$326,0)</f>
        <v>-149287</v>
      </c>
      <c r="O206" s="64">
        <f>ROUND(VLOOKUP($A206,'Contribution Allocation_Report'!$A$9:$D$311,4,FALSE)*$O$326,0)</f>
        <v>-85044</v>
      </c>
      <c r="Q206" s="64">
        <f>+K206+VLOOKUP(A206,'Change in Proportion Layers'!$A$8:$N$324,3,FALSE)+VLOOKUP(A206,'Change in Proportion Layers'!$A$8:$Y$324,10,FALSE)+VLOOKUP(A206,'Change in Proportion Layers'!$A$8:$Y$324,16,FALSE)+VLOOKUP(A206,'Change in Proportion Layers'!$A$8:$Y$324,21,FALSE)+VLOOKUP(A206,'Change in Proportion Layers'!$A$8:$Y$324,25,FALSE)</f>
        <v>-388610</v>
      </c>
      <c r="R206" s="64">
        <f>+L206+VLOOKUP(A206,'Change in Proportion Layers'!$A$8:$Y$324,4,FALSE)+VLOOKUP(A206,'Change in Proportion Layers'!$A$8:$Y$324,11,FALSE)+VLOOKUP(A206,'Change in Proportion Layers'!$A$8:$Y$324,17,FALSE)+VLOOKUP(A206,'Change in Proportion Layers'!$A$8:$Y$324,22,FALSE)</f>
        <v>-281099</v>
      </c>
      <c r="S206" s="64">
        <f>+M206+VLOOKUP(A206,'Change in Proportion Layers'!$A$8:$Y$324,5,FALSE)+VLOOKUP(A206,'Change in Proportion Layers'!$A$8:$Y$324,12,FALSE)+VLOOKUP(A206,'Change in Proportion Layers'!$A$8:$Y$324,18,FALSE)</f>
        <v>-157548</v>
      </c>
      <c r="T206" s="64">
        <f>+N206+VLOOKUP(A206,'Change in Proportion Layers'!$A$8:$Y$324,6,FALSE)+VLOOKUP(A206,'Change in Proportion Layers'!$A$8:$Y$324,13,FALSE)</f>
        <v>-182256</v>
      </c>
      <c r="U206" s="64">
        <f>+O206+VLOOKUP(A206,'Change in Proportion Layers'!$A$8:$Y$324,7,FALSE)</f>
        <v>-56746</v>
      </c>
      <c r="W206" s="64">
        <f>('OPEB Amounts_Report'!H206-'OPEB Amounts_Report'!M206)</f>
        <v>-1066259</v>
      </c>
      <c r="X206" s="129">
        <f>SUM(Q206:U206)-('OPEB Amounts_Report'!H206-'OPEB Amounts_Report'!M206)</f>
        <v>0</v>
      </c>
    </row>
    <row r="207" spans="1:24">
      <c r="A207" s="187">
        <v>7445</v>
      </c>
      <c r="B207" s="188" t="s">
        <v>428</v>
      </c>
      <c r="C207" s="5">
        <f>+Q207</f>
        <v>45557</v>
      </c>
      <c r="D207" s="5">
        <f>+R207</f>
        <v>62182</v>
      </c>
      <c r="E207" s="5">
        <f>+S207</f>
        <v>78804</v>
      </c>
      <c r="F207" s="5">
        <f>+T207</f>
        <v>20214</v>
      </c>
      <c r="G207" s="5">
        <f>+U207</f>
        <v>-3385</v>
      </c>
      <c r="I207" s="186"/>
      <c r="K207" s="64">
        <f>ROUND(VLOOKUP($A207,'Contribution Allocation_Report'!$A$9:$D$311,4,FALSE)*$K$326,0)</f>
        <v>-60821</v>
      </c>
      <c r="L207" s="64">
        <f>ROUND(VLOOKUP($A207,'Contribution Allocation_Report'!$A$9:$D$311,4,FALSE)*$L$326,0)</f>
        <v>-44196</v>
      </c>
      <c r="M207" s="64">
        <f>ROUND(VLOOKUP($A207,'Contribution Allocation_Report'!$A$9:$D$311,4,FALSE)*$M$326,0)</f>
        <v>-26671</v>
      </c>
      <c r="N207" s="64">
        <f>ROUND(VLOOKUP($A207,'Contribution Allocation_Report'!$A$9:$D$311,4,FALSE)*$N$326,0)</f>
        <v>-40211</v>
      </c>
      <c r="O207" s="64">
        <f>ROUND(VLOOKUP($A207,'Contribution Allocation_Report'!$A$9:$D$311,4,FALSE)*$O$326,0)</f>
        <v>-22907</v>
      </c>
      <c r="Q207" s="64">
        <f>+K207+VLOOKUP(A207,'Change in Proportion Layers'!$A$8:$N$324,3,FALSE)+VLOOKUP(A207,'Change in Proportion Layers'!$A$8:$Y$324,10,FALSE)+VLOOKUP(A207,'Change in Proportion Layers'!$A$8:$Y$324,16,FALSE)+VLOOKUP(A207,'Change in Proportion Layers'!$A$8:$Y$324,21,FALSE)+VLOOKUP(A207,'Change in Proportion Layers'!$A$8:$Y$324,25,FALSE)</f>
        <v>45557</v>
      </c>
      <c r="R207" s="64">
        <f>+L207+VLOOKUP(A207,'Change in Proportion Layers'!$A$8:$Y$324,4,FALSE)+VLOOKUP(A207,'Change in Proportion Layers'!$A$8:$Y$324,11,FALSE)+VLOOKUP(A207,'Change in Proportion Layers'!$A$8:$Y$324,17,FALSE)+VLOOKUP(A207,'Change in Proportion Layers'!$A$8:$Y$324,22,FALSE)</f>
        <v>62182</v>
      </c>
      <c r="S207" s="64">
        <f>+M207+VLOOKUP(A207,'Change in Proportion Layers'!$A$8:$Y$324,5,FALSE)+VLOOKUP(A207,'Change in Proportion Layers'!$A$8:$Y$324,12,FALSE)+VLOOKUP(A207,'Change in Proportion Layers'!$A$8:$Y$324,18,FALSE)</f>
        <v>78804</v>
      </c>
      <c r="T207" s="64">
        <f>+N207+VLOOKUP(A207,'Change in Proportion Layers'!$A$8:$Y$324,6,FALSE)+VLOOKUP(A207,'Change in Proportion Layers'!$A$8:$Y$324,13,FALSE)</f>
        <v>20214</v>
      </c>
      <c r="U207" s="64">
        <f>+O207+VLOOKUP(A207,'Change in Proportion Layers'!$A$8:$Y$324,7,FALSE)+1</f>
        <v>-3385</v>
      </c>
      <c r="W207" s="64">
        <f>('OPEB Amounts_Report'!H207-'OPEB Amounts_Report'!M207)</f>
        <v>203372</v>
      </c>
      <c r="X207" s="129">
        <f>SUM(Q207:U207)-('OPEB Amounts_Report'!H207-'OPEB Amounts_Report'!M207)</f>
        <v>0</v>
      </c>
    </row>
    <row r="208" spans="1:24">
      <c r="A208" s="184">
        <v>9029</v>
      </c>
      <c r="B208" s="185" t="s">
        <v>197</v>
      </c>
      <c r="C208" s="63">
        <f t="shared" si="3"/>
        <v>-656271</v>
      </c>
      <c r="D208" s="63">
        <f t="shared" si="3"/>
        <v>-325727</v>
      </c>
      <c r="E208" s="63">
        <f t="shared" si="3"/>
        <v>-56090</v>
      </c>
      <c r="F208" s="63">
        <f t="shared" si="3"/>
        <v>-361313</v>
      </c>
      <c r="G208" s="63">
        <f t="shared" si="3"/>
        <v>-209555</v>
      </c>
      <c r="I208" s="186"/>
      <c r="K208" s="64">
        <f>ROUND(VLOOKUP($A208,'Contribution Allocation_Report'!$A$9:$D$311,4,FALSE)*$K$326,0)</f>
        <v>-543263</v>
      </c>
      <c r="L208" s="64">
        <f>ROUND(VLOOKUP($A208,'Contribution Allocation_Report'!$A$9:$D$311,4,FALSE)*$L$326,0)</f>
        <v>-394765</v>
      </c>
      <c r="M208" s="64">
        <f>ROUND(VLOOKUP($A208,'Contribution Allocation_Report'!$A$9:$D$311,4,FALSE)*$M$326,0)</f>
        <v>-238227</v>
      </c>
      <c r="N208" s="64">
        <f>ROUND(VLOOKUP($A208,'Contribution Allocation_Report'!$A$9:$D$311,4,FALSE)*$N$326,0)</f>
        <v>-359168</v>
      </c>
      <c r="O208" s="64">
        <f>ROUND(VLOOKUP($A208,'Contribution Allocation_Report'!$A$9:$D$311,4,FALSE)*$O$326,0)</f>
        <v>-204607</v>
      </c>
      <c r="Q208" s="64">
        <f>+K208+VLOOKUP(A208,'Change in Proportion Layers'!$A$8:$N$324,3,FALSE)+VLOOKUP(A208,'Change in Proportion Layers'!$A$8:$Y$324,10,FALSE)+VLOOKUP(A208,'Change in Proportion Layers'!$A$8:$Y$324,16,FALSE)+VLOOKUP(A208,'Change in Proportion Layers'!$A$8:$Y$324,21,FALSE)+VLOOKUP(A208,'Change in Proportion Layers'!$A$8:$Y$324,25,FALSE)</f>
        <v>-656271</v>
      </c>
      <c r="R208" s="64">
        <f>+L208+VLOOKUP(A208,'Change in Proportion Layers'!$A$8:$Y$324,4,FALSE)+VLOOKUP(A208,'Change in Proportion Layers'!$A$8:$Y$324,11,FALSE)+VLOOKUP(A208,'Change in Proportion Layers'!$A$8:$Y$324,17,FALSE)+VLOOKUP(A208,'Change in Proportion Layers'!$A$8:$Y$324,22,FALSE)</f>
        <v>-325727</v>
      </c>
      <c r="S208" s="64">
        <f>+M208+VLOOKUP(A208,'Change in Proportion Layers'!$A$8:$Y$324,5,FALSE)+VLOOKUP(A208,'Change in Proportion Layers'!$A$8:$Y$324,12,FALSE)+VLOOKUP(A208,'Change in Proportion Layers'!$A$8:$Y$324,18,FALSE)</f>
        <v>-56090</v>
      </c>
      <c r="T208" s="64">
        <f>+N208+VLOOKUP(A208,'Change in Proportion Layers'!$A$8:$Y$324,6,FALSE)+VLOOKUP(A208,'Change in Proportion Layers'!$A$8:$Y$324,13,FALSE)</f>
        <v>-361313</v>
      </c>
      <c r="U208" s="64">
        <f>+O208+VLOOKUP(A208,'Change in Proportion Layers'!$A$8:$Y$324,7,FALSE)-1</f>
        <v>-209555</v>
      </c>
      <c r="W208" s="64">
        <f>('OPEB Amounts_Report'!H209-'OPEB Amounts_Report'!M209)</f>
        <v>-349957</v>
      </c>
      <c r="X208" s="129">
        <f>SUM(Q208:U208)-('OPEB Amounts_Report'!H208-'OPEB Amounts_Report'!M208)</f>
        <v>0</v>
      </c>
    </row>
    <row r="209" spans="1:24">
      <c r="A209" s="187">
        <v>2580</v>
      </c>
      <c r="B209" s="188" t="s">
        <v>198</v>
      </c>
      <c r="C209" s="5">
        <f t="shared" si="3"/>
        <v>-96798</v>
      </c>
      <c r="D209" s="5">
        <f t="shared" si="3"/>
        <v>-85032</v>
      </c>
      <c r="E209" s="5">
        <f t="shared" si="3"/>
        <v>-66727</v>
      </c>
      <c r="F209" s="5">
        <f t="shared" si="3"/>
        <v>-63237</v>
      </c>
      <c r="G209" s="5">
        <f t="shared" si="3"/>
        <v>-38163</v>
      </c>
      <c r="I209" s="186"/>
      <c r="K209" s="64">
        <f>ROUND(VLOOKUP($A209,'Contribution Allocation_Report'!$A$9:$D$311,4,FALSE)*$K$326,0)</f>
        <v>-71211</v>
      </c>
      <c r="L209" s="64">
        <f>ROUND(VLOOKUP($A209,'Contribution Allocation_Report'!$A$9:$D$311,4,FALSE)*$L$326,0)</f>
        <v>-51746</v>
      </c>
      <c r="M209" s="64">
        <f>ROUND(VLOOKUP($A209,'Contribution Allocation_Report'!$A$9:$D$311,4,FALSE)*$M$326,0)</f>
        <v>-31227</v>
      </c>
      <c r="N209" s="64">
        <f>ROUND(VLOOKUP($A209,'Contribution Allocation_Report'!$A$9:$D$311,4,FALSE)*$N$326,0)</f>
        <v>-47080</v>
      </c>
      <c r="O209" s="64">
        <f>ROUND(VLOOKUP($A209,'Contribution Allocation_Report'!$A$9:$D$311,4,FALSE)*$O$326,0)</f>
        <v>-26820</v>
      </c>
      <c r="Q209" s="64">
        <f>+K209+VLOOKUP(A209,'Change in Proportion Layers'!$A$8:$N$324,3,FALSE)+VLOOKUP(A209,'Change in Proportion Layers'!$A$8:$Y$324,10,FALSE)+VLOOKUP(A209,'Change in Proportion Layers'!$A$8:$Y$324,16,FALSE)+VLOOKUP(A209,'Change in Proportion Layers'!$A$8:$Y$324,21,FALSE)+VLOOKUP(A209,'Change in Proportion Layers'!$A$8:$Y$324,25,FALSE)</f>
        <v>-96798</v>
      </c>
      <c r="R209" s="64">
        <f>+L209+VLOOKUP(A209,'Change in Proportion Layers'!$A$8:$Y$324,4,FALSE)+VLOOKUP(A209,'Change in Proportion Layers'!$A$8:$Y$324,11,FALSE)+VLOOKUP(A209,'Change in Proportion Layers'!$A$8:$Y$324,17,FALSE)+VLOOKUP(A209,'Change in Proportion Layers'!$A$8:$Y$324,22,FALSE)</f>
        <v>-85032</v>
      </c>
      <c r="S209" s="64">
        <f>+M209+VLOOKUP(A209,'Change in Proportion Layers'!$A$8:$Y$324,5,FALSE)+VLOOKUP(A209,'Change in Proportion Layers'!$A$8:$Y$324,12,FALSE)+VLOOKUP(A209,'Change in Proportion Layers'!$A$8:$Y$324,18,FALSE)</f>
        <v>-66727</v>
      </c>
      <c r="T209" s="64">
        <f>+N209+VLOOKUP(A209,'Change in Proportion Layers'!$A$8:$Y$324,6,FALSE)+VLOOKUP(A209,'Change in Proportion Layers'!$A$8:$Y$324,13,FALSE)</f>
        <v>-63237</v>
      </c>
      <c r="U209" s="64">
        <f>+O209+VLOOKUP(A209,'Change in Proportion Layers'!$A$8:$Y$324,7,FALSE)-1</f>
        <v>-38163</v>
      </c>
      <c r="W209" s="64">
        <f>('OPEB Amounts_Report'!H210-'OPEB Amounts_Report'!M210)</f>
        <v>-126738</v>
      </c>
      <c r="X209" s="129">
        <f>SUM(Q209:U209)-('OPEB Amounts_Report'!H209-'OPEB Amounts_Report'!M209)</f>
        <v>0</v>
      </c>
    </row>
    <row r="210" spans="1:24">
      <c r="A210" s="184">
        <v>20312</v>
      </c>
      <c r="B210" s="185" t="s">
        <v>199</v>
      </c>
      <c r="C210" s="63">
        <f t="shared" si="3"/>
        <v>-39511</v>
      </c>
      <c r="D210" s="63">
        <f t="shared" si="3"/>
        <v>-21990</v>
      </c>
      <c r="E210" s="63">
        <f t="shared" si="3"/>
        <v>-13581</v>
      </c>
      <c r="F210" s="63">
        <f t="shared" si="3"/>
        <v>-29786</v>
      </c>
      <c r="G210" s="63">
        <f t="shared" si="3"/>
        <v>-21870</v>
      </c>
      <c r="I210" s="186"/>
      <c r="K210" s="64">
        <f>ROUND(VLOOKUP($A210,'Contribution Allocation_Report'!$A$9:$D$311,4,FALSE)*$K$326,0)</f>
        <v>-60601</v>
      </c>
      <c r="L210" s="64">
        <f>ROUND(VLOOKUP($A210,'Contribution Allocation_Report'!$A$9:$D$311,4,FALSE)*$L$326,0)</f>
        <v>-44036</v>
      </c>
      <c r="M210" s="64">
        <f>ROUND(VLOOKUP($A210,'Contribution Allocation_Report'!$A$9:$D$311,4,FALSE)*$M$326,0)</f>
        <v>-26574</v>
      </c>
      <c r="N210" s="64">
        <f>ROUND(VLOOKUP($A210,'Contribution Allocation_Report'!$A$9:$D$311,4,FALSE)*$N$326,0)</f>
        <v>-40065</v>
      </c>
      <c r="O210" s="64">
        <f>ROUND(VLOOKUP($A210,'Contribution Allocation_Report'!$A$9:$D$311,4,FALSE)*$O$326,0)</f>
        <v>-22824</v>
      </c>
      <c r="Q210" s="64">
        <f>+K210+VLOOKUP(A210,'Change in Proportion Layers'!$A$8:$N$324,3,FALSE)+VLOOKUP(A210,'Change in Proportion Layers'!$A$8:$Y$324,10,FALSE)+VLOOKUP(A210,'Change in Proportion Layers'!$A$8:$Y$324,16,FALSE)+VLOOKUP(A210,'Change in Proportion Layers'!$A$8:$Y$324,21,FALSE)+VLOOKUP(A210,'Change in Proportion Layers'!$A$8:$Y$324,25,FALSE)</f>
        <v>-39511</v>
      </c>
      <c r="R210" s="64">
        <f>+L210+VLOOKUP(A210,'Change in Proportion Layers'!$A$8:$Y$324,4,FALSE)+VLOOKUP(A210,'Change in Proportion Layers'!$A$8:$Y$324,11,FALSE)+VLOOKUP(A210,'Change in Proportion Layers'!$A$8:$Y$324,17,FALSE)+VLOOKUP(A210,'Change in Proportion Layers'!$A$8:$Y$324,22,FALSE)</f>
        <v>-21990</v>
      </c>
      <c r="S210" s="64">
        <f>+M210+VLOOKUP(A210,'Change in Proportion Layers'!$A$8:$Y$324,5,FALSE)+VLOOKUP(A210,'Change in Proportion Layers'!$A$8:$Y$324,12,FALSE)+VLOOKUP(A210,'Change in Proportion Layers'!$A$8:$Y$324,18,FALSE)</f>
        <v>-13581</v>
      </c>
      <c r="T210" s="64">
        <f>+N210+VLOOKUP(A210,'Change in Proportion Layers'!$A$8:$Y$324,6,FALSE)+VLOOKUP(A210,'Change in Proportion Layers'!$A$8:$Y$324,13,FALSE)</f>
        <v>-29786</v>
      </c>
      <c r="U210" s="64">
        <f>+O210+VLOOKUP(A210,'Change in Proportion Layers'!$A$8:$Y$324,7,FALSE)+1</f>
        <v>-21870</v>
      </c>
      <c r="W210" s="64">
        <f>('OPEB Amounts_Report'!H211-'OPEB Amounts_Report'!M211)</f>
        <v>-916674</v>
      </c>
      <c r="X210" s="129">
        <f>SUM(Q210:U210)-('OPEB Amounts_Report'!H210-'OPEB Amounts_Report'!M210)</f>
        <v>0</v>
      </c>
    </row>
    <row r="211" spans="1:24">
      <c r="A211" s="187">
        <v>26150</v>
      </c>
      <c r="B211" s="188" t="s">
        <v>200</v>
      </c>
      <c r="C211" s="5">
        <f t="shared" si="3"/>
        <v>-182441</v>
      </c>
      <c r="D211" s="5">
        <f t="shared" si="3"/>
        <v>-190541</v>
      </c>
      <c r="E211" s="5">
        <f t="shared" si="3"/>
        <v>-162100</v>
      </c>
      <c r="F211" s="5">
        <f t="shared" si="3"/>
        <v>-255733</v>
      </c>
      <c r="G211" s="5">
        <f t="shared" si="3"/>
        <v>-125859</v>
      </c>
      <c r="I211" s="186"/>
      <c r="K211" s="64">
        <f>ROUND(VLOOKUP($A211,'Contribution Allocation_Report'!$A$9:$D$311,4,FALSE)*$K$326,0)</f>
        <v>-417061</v>
      </c>
      <c r="L211" s="64">
        <f>ROUND(VLOOKUP($A211,'Contribution Allocation_Report'!$A$9:$D$311,4,FALSE)*$L$326,0)</f>
        <v>-303060</v>
      </c>
      <c r="M211" s="64">
        <f>ROUND(VLOOKUP($A211,'Contribution Allocation_Report'!$A$9:$D$311,4,FALSE)*$M$326,0)</f>
        <v>-182886</v>
      </c>
      <c r="N211" s="64">
        <f>ROUND(VLOOKUP($A211,'Contribution Allocation_Report'!$A$9:$D$311,4,FALSE)*$N$326,0)</f>
        <v>-275732</v>
      </c>
      <c r="O211" s="64">
        <f>ROUND(VLOOKUP($A211,'Contribution Allocation_Report'!$A$9:$D$311,4,FALSE)*$O$326,0)</f>
        <v>-157076</v>
      </c>
      <c r="Q211" s="64">
        <f>+K211+VLOOKUP(A211,'Change in Proportion Layers'!$A$8:$N$324,3,FALSE)+VLOOKUP(A211,'Change in Proportion Layers'!$A$8:$Y$324,10,FALSE)+VLOOKUP(A211,'Change in Proportion Layers'!$A$8:$Y$324,16,FALSE)+VLOOKUP(A211,'Change in Proportion Layers'!$A$8:$Y$324,21,FALSE)+VLOOKUP(A211,'Change in Proportion Layers'!$A$8:$Y$324,25,FALSE)</f>
        <v>-182441</v>
      </c>
      <c r="R211" s="64">
        <f>+L211+VLOOKUP(A211,'Change in Proportion Layers'!$A$8:$Y$324,4,FALSE)+VLOOKUP(A211,'Change in Proportion Layers'!$A$8:$Y$324,11,FALSE)+VLOOKUP(A211,'Change in Proportion Layers'!$A$8:$Y$324,17,FALSE)+VLOOKUP(A211,'Change in Proportion Layers'!$A$8:$Y$324,22,FALSE)</f>
        <v>-190541</v>
      </c>
      <c r="S211" s="64">
        <f>+M211+VLOOKUP(A211,'Change in Proportion Layers'!$A$8:$Y$324,5,FALSE)+VLOOKUP(A211,'Change in Proportion Layers'!$A$8:$Y$324,12,FALSE)+VLOOKUP(A211,'Change in Proportion Layers'!$A$8:$Y$324,18,FALSE)</f>
        <v>-162100</v>
      </c>
      <c r="T211" s="64">
        <f>+N211+VLOOKUP(A211,'Change in Proportion Layers'!$A$8:$Y$324,6,FALSE)+VLOOKUP(A211,'Change in Proportion Layers'!$A$8:$Y$324,13,FALSE)</f>
        <v>-255733</v>
      </c>
      <c r="U211" s="64">
        <f>+O211+VLOOKUP(A211,'Change in Proportion Layers'!$A$8:$Y$324,7,FALSE)-2</f>
        <v>-125859</v>
      </c>
      <c r="W211" s="64">
        <f>('OPEB Amounts_Report'!H212-'OPEB Amounts_Report'!M212)</f>
        <v>-191810</v>
      </c>
      <c r="X211" s="129">
        <f>SUM(Q211:U211)-('OPEB Amounts_Report'!H211-'OPEB Amounts_Report'!M211)</f>
        <v>0</v>
      </c>
    </row>
    <row r="212" spans="1:24">
      <c r="A212" s="184">
        <v>5016</v>
      </c>
      <c r="B212" s="185" t="s">
        <v>201</v>
      </c>
      <c r="C212" s="63">
        <f t="shared" si="3"/>
        <v>-56407</v>
      </c>
      <c r="D212" s="63">
        <f t="shared" si="3"/>
        <v>-54868</v>
      </c>
      <c r="E212" s="63">
        <f t="shared" si="3"/>
        <v>-33036</v>
      </c>
      <c r="F212" s="63">
        <f t="shared" si="3"/>
        <v>-30182</v>
      </c>
      <c r="G212" s="63">
        <f t="shared" si="3"/>
        <v>-17317</v>
      </c>
      <c r="I212" s="186"/>
      <c r="K212" s="64">
        <f>ROUND(VLOOKUP($A212,'Contribution Allocation_Report'!$A$9:$D$311,4,FALSE)*$K$326,0)</f>
        <v>-45751</v>
      </c>
      <c r="L212" s="64">
        <f>ROUND(VLOOKUP($A212,'Contribution Allocation_Report'!$A$9:$D$311,4,FALSE)*$L$326,0)</f>
        <v>-33245</v>
      </c>
      <c r="M212" s="64">
        <f>ROUND(VLOOKUP($A212,'Contribution Allocation_Report'!$A$9:$D$311,4,FALSE)*$M$326,0)</f>
        <v>-20062</v>
      </c>
      <c r="N212" s="64">
        <f>ROUND(VLOOKUP($A212,'Contribution Allocation_Report'!$A$9:$D$311,4,FALSE)*$N$326,0)</f>
        <v>-30247</v>
      </c>
      <c r="O212" s="64">
        <f>ROUND(VLOOKUP($A212,'Contribution Allocation_Report'!$A$9:$D$311,4,FALSE)*$O$326,0)</f>
        <v>-17231</v>
      </c>
      <c r="Q212" s="64">
        <f>+K212+VLOOKUP(A212,'Change in Proportion Layers'!$A$8:$N$324,3,FALSE)+VLOOKUP(A212,'Change in Proportion Layers'!$A$8:$Y$324,10,FALSE)+VLOOKUP(A212,'Change in Proportion Layers'!$A$8:$Y$324,16,FALSE)+VLOOKUP(A212,'Change in Proportion Layers'!$A$8:$Y$324,21,FALSE)+VLOOKUP(A212,'Change in Proportion Layers'!$A$8:$Y$324,25,FALSE)</f>
        <v>-56407</v>
      </c>
      <c r="R212" s="64">
        <f>+L212+VLOOKUP(A212,'Change in Proportion Layers'!$A$8:$Y$324,4,FALSE)+VLOOKUP(A212,'Change in Proportion Layers'!$A$8:$Y$324,11,FALSE)+VLOOKUP(A212,'Change in Proportion Layers'!$A$8:$Y$324,17,FALSE)+VLOOKUP(A212,'Change in Proportion Layers'!$A$8:$Y$324,22,FALSE)</f>
        <v>-54868</v>
      </c>
      <c r="S212" s="64">
        <f>+M212+VLOOKUP(A212,'Change in Proportion Layers'!$A$8:$Y$324,5,FALSE)+VLOOKUP(A212,'Change in Proportion Layers'!$A$8:$Y$324,12,FALSE)+VLOOKUP(A212,'Change in Proportion Layers'!$A$8:$Y$324,18,FALSE)</f>
        <v>-33036</v>
      </c>
      <c r="T212" s="64">
        <f>+N212+VLOOKUP(A212,'Change in Proportion Layers'!$A$8:$Y$324,6,FALSE)+VLOOKUP(A212,'Change in Proportion Layers'!$A$8:$Y$324,13,FALSE)</f>
        <v>-30182</v>
      </c>
      <c r="U212" s="64">
        <f>+O212+VLOOKUP(A212,'Change in Proportion Layers'!$A$8:$Y$324,7,FALSE)-1</f>
        <v>-17317</v>
      </c>
      <c r="W212" s="64">
        <f>('OPEB Amounts_Report'!H213-'OPEB Amounts_Report'!M213)</f>
        <v>-30357</v>
      </c>
      <c r="X212" s="129">
        <f>SUM(Q212:U212)-('OPEB Amounts_Report'!H212-'OPEB Amounts_Report'!M212)</f>
        <v>0</v>
      </c>
    </row>
    <row r="213" spans="1:24">
      <c r="A213" s="187">
        <v>6150</v>
      </c>
      <c r="B213" s="188" t="s">
        <v>202</v>
      </c>
      <c r="C213" s="5">
        <f t="shared" si="3"/>
        <v>16484</v>
      </c>
      <c r="D213" s="5">
        <f t="shared" si="3"/>
        <v>-5394</v>
      </c>
      <c r="E213" s="5">
        <f t="shared" si="3"/>
        <v>-3666</v>
      </c>
      <c r="F213" s="5">
        <f t="shared" si="3"/>
        <v>-28531</v>
      </c>
      <c r="G213" s="5">
        <f t="shared" si="3"/>
        <v>-9250</v>
      </c>
      <c r="I213" s="186"/>
      <c r="K213" s="64">
        <f>ROUND(VLOOKUP($A213,'Contribution Allocation_Report'!$A$9:$D$311,4,FALSE)*$K$326,0)</f>
        <v>-42870</v>
      </c>
      <c r="L213" s="64">
        <f>ROUND(VLOOKUP($A213,'Contribution Allocation_Report'!$A$9:$D$311,4,FALSE)*$L$326,0)</f>
        <v>-31152</v>
      </c>
      <c r="M213" s="64">
        <f>ROUND(VLOOKUP($A213,'Contribution Allocation_Report'!$A$9:$D$311,4,FALSE)*$M$326,0)</f>
        <v>-18799</v>
      </c>
      <c r="N213" s="64">
        <f>ROUND(VLOOKUP($A213,'Contribution Allocation_Report'!$A$9:$D$311,4,FALSE)*$N$326,0)</f>
        <v>-28343</v>
      </c>
      <c r="O213" s="64">
        <f>ROUND(VLOOKUP($A213,'Contribution Allocation_Report'!$A$9:$D$311,4,FALSE)*$O$326,0)</f>
        <v>-16146</v>
      </c>
      <c r="Q213" s="64">
        <f>+K213+VLOOKUP(A213,'Change in Proportion Layers'!$A$8:$N$324,3,FALSE)+VLOOKUP(A213,'Change in Proportion Layers'!$A$8:$Y$324,10,FALSE)+VLOOKUP(A213,'Change in Proportion Layers'!$A$8:$Y$324,16,FALSE)+VLOOKUP(A213,'Change in Proportion Layers'!$A$8:$Y$324,21,FALSE)+VLOOKUP(A213,'Change in Proportion Layers'!$A$8:$Y$324,25,FALSE)</f>
        <v>16484</v>
      </c>
      <c r="R213" s="64">
        <f>+L213+VLOOKUP(A213,'Change in Proportion Layers'!$A$8:$Y$324,4,FALSE)+VLOOKUP(A213,'Change in Proportion Layers'!$A$8:$Y$324,11,FALSE)+VLOOKUP(A213,'Change in Proportion Layers'!$A$8:$Y$324,17,FALSE)+VLOOKUP(A213,'Change in Proportion Layers'!$A$8:$Y$324,22,FALSE)</f>
        <v>-5394</v>
      </c>
      <c r="S213" s="64">
        <f>+M213+VLOOKUP(A213,'Change in Proportion Layers'!$A$8:$Y$324,5,FALSE)+VLOOKUP(A213,'Change in Proportion Layers'!$A$8:$Y$324,12,FALSE)+VLOOKUP(A213,'Change in Proportion Layers'!$A$8:$Y$324,18,FALSE)</f>
        <v>-3666</v>
      </c>
      <c r="T213" s="64">
        <f>+N213+VLOOKUP(A213,'Change in Proportion Layers'!$A$8:$Y$324,6,FALSE)+VLOOKUP(A213,'Change in Proportion Layers'!$A$8:$Y$324,13,FALSE)</f>
        <v>-28531</v>
      </c>
      <c r="U213" s="64">
        <f>+O213+VLOOKUP(A213,'Change in Proportion Layers'!$A$8:$Y$324,7,FALSE)</f>
        <v>-9250</v>
      </c>
      <c r="W213" s="64">
        <f>('OPEB Amounts_Report'!H214-'OPEB Amounts_Report'!M214)</f>
        <v>-374832</v>
      </c>
      <c r="X213" s="129">
        <f>SUM(Q213:U213)-('OPEB Amounts_Report'!H213-'OPEB Amounts_Report'!M213)</f>
        <v>0</v>
      </c>
    </row>
    <row r="214" spans="1:24">
      <c r="A214" s="184">
        <v>4480</v>
      </c>
      <c r="B214" s="185" t="s">
        <v>203</v>
      </c>
      <c r="C214" s="63">
        <f t="shared" si="3"/>
        <v>-104196</v>
      </c>
      <c r="D214" s="63">
        <f t="shared" si="3"/>
        <v>-85809</v>
      </c>
      <c r="E214" s="63">
        <f t="shared" si="3"/>
        <v>-70370</v>
      </c>
      <c r="F214" s="63">
        <f t="shared" si="3"/>
        <v>-75873</v>
      </c>
      <c r="G214" s="63">
        <f t="shared" si="3"/>
        <v>-38584</v>
      </c>
      <c r="I214" s="186"/>
      <c r="K214" s="64">
        <f>ROUND(VLOOKUP($A214,'Contribution Allocation_Report'!$A$9:$D$311,4,FALSE)*$K$326,0)</f>
        <v>-69289</v>
      </c>
      <c r="L214" s="64">
        <f>ROUND(VLOOKUP($A214,'Contribution Allocation_Report'!$A$9:$D$311,4,FALSE)*$L$326,0)</f>
        <v>-50349</v>
      </c>
      <c r="M214" s="64">
        <f>ROUND(VLOOKUP($A214,'Contribution Allocation_Report'!$A$9:$D$311,4,FALSE)*$M$326,0)</f>
        <v>-30384</v>
      </c>
      <c r="N214" s="64">
        <f>ROUND(VLOOKUP($A214,'Contribution Allocation_Report'!$A$9:$D$311,4,FALSE)*$N$326,0)</f>
        <v>-45809</v>
      </c>
      <c r="O214" s="64">
        <f>ROUND(VLOOKUP($A214,'Contribution Allocation_Report'!$A$9:$D$311,4,FALSE)*$O$326,0)</f>
        <v>-26096</v>
      </c>
      <c r="Q214" s="64">
        <f>+K214+VLOOKUP(A214,'Change in Proportion Layers'!$A$8:$N$324,3,FALSE)+VLOOKUP(A214,'Change in Proportion Layers'!$A$8:$Y$324,10,FALSE)+VLOOKUP(A214,'Change in Proportion Layers'!$A$8:$Y$324,16,FALSE)+VLOOKUP(A214,'Change in Proportion Layers'!$A$8:$Y$324,21,FALSE)+VLOOKUP(A214,'Change in Proportion Layers'!$A$8:$Y$324,25,FALSE)</f>
        <v>-104196</v>
      </c>
      <c r="R214" s="64">
        <f>+L214+VLOOKUP(A214,'Change in Proportion Layers'!$A$8:$Y$324,4,FALSE)+VLOOKUP(A214,'Change in Proportion Layers'!$A$8:$Y$324,11,FALSE)+VLOOKUP(A214,'Change in Proportion Layers'!$A$8:$Y$324,17,FALSE)+VLOOKUP(A214,'Change in Proportion Layers'!$A$8:$Y$324,22,FALSE)</f>
        <v>-85809</v>
      </c>
      <c r="S214" s="64">
        <f>+M214+VLOOKUP(A214,'Change in Proportion Layers'!$A$8:$Y$324,5,FALSE)+VLOOKUP(A214,'Change in Proportion Layers'!$A$8:$Y$324,12,FALSE)+VLOOKUP(A214,'Change in Proportion Layers'!$A$8:$Y$324,18,FALSE)</f>
        <v>-70370</v>
      </c>
      <c r="T214" s="64">
        <f>+N214+VLOOKUP(A214,'Change in Proportion Layers'!$A$8:$Y$324,6,FALSE)+VLOOKUP(A214,'Change in Proportion Layers'!$A$8:$Y$324,13,FALSE)</f>
        <v>-75873</v>
      </c>
      <c r="U214" s="64">
        <f>+O214+VLOOKUP(A214,'Change in Proportion Layers'!$A$8:$Y$324,7,FALSE)-1</f>
        <v>-38584</v>
      </c>
      <c r="W214" s="64">
        <f>('OPEB Amounts_Report'!H215-'OPEB Amounts_Report'!M215)</f>
        <v>-538322</v>
      </c>
      <c r="X214" s="129">
        <f>SUM(Q214:U214)-('OPEB Amounts_Report'!H214-'OPEB Amounts_Report'!M214)</f>
        <v>0</v>
      </c>
    </row>
    <row r="215" spans="1:24">
      <c r="A215" s="187">
        <v>28085</v>
      </c>
      <c r="B215" s="188" t="s">
        <v>204</v>
      </c>
      <c r="C215" s="5">
        <f t="shared" si="3"/>
        <v>-165132</v>
      </c>
      <c r="D215" s="5">
        <f t="shared" si="3"/>
        <v>-127975</v>
      </c>
      <c r="E215" s="5">
        <f t="shared" si="3"/>
        <v>-80383</v>
      </c>
      <c r="F215" s="5">
        <f t="shared" si="3"/>
        <v>-111242</v>
      </c>
      <c r="G215" s="5">
        <f t="shared" si="3"/>
        <v>-53590</v>
      </c>
      <c r="I215" s="186"/>
      <c r="K215" s="64">
        <f>ROUND(VLOOKUP($A215,'Contribution Allocation_Report'!$A$9:$D$311,4,FALSE)*$K$326,0)</f>
        <v>-145056</v>
      </c>
      <c r="L215" s="64">
        <f>ROUND(VLOOKUP($A215,'Contribution Allocation_Report'!$A$9:$D$311,4,FALSE)*$L$326,0)</f>
        <v>-105406</v>
      </c>
      <c r="M215" s="64">
        <f>ROUND(VLOOKUP($A215,'Contribution Allocation_Report'!$A$9:$D$311,4,FALSE)*$M$326,0)</f>
        <v>-63609</v>
      </c>
      <c r="N215" s="64">
        <f>ROUND(VLOOKUP($A215,'Contribution Allocation_Report'!$A$9:$D$311,4,FALSE)*$N$326,0)</f>
        <v>-95901</v>
      </c>
      <c r="O215" s="64">
        <f>ROUND(VLOOKUP($A215,'Contribution Allocation_Report'!$A$9:$D$311,4,FALSE)*$O$326,0)</f>
        <v>-54632</v>
      </c>
      <c r="Q215" s="64">
        <f>+K215+VLOOKUP(A215,'Change in Proportion Layers'!$A$8:$N$324,3,FALSE)+VLOOKUP(A215,'Change in Proportion Layers'!$A$8:$Y$324,10,FALSE)+VLOOKUP(A215,'Change in Proportion Layers'!$A$8:$Y$324,16,FALSE)+VLOOKUP(A215,'Change in Proportion Layers'!$A$8:$Y$324,21,FALSE)+VLOOKUP(A215,'Change in Proportion Layers'!$A$8:$Y$324,25,FALSE)</f>
        <v>-165132</v>
      </c>
      <c r="R215" s="64">
        <f>+L215+VLOOKUP(A215,'Change in Proportion Layers'!$A$8:$Y$324,4,FALSE)+VLOOKUP(A215,'Change in Proportion Layers'!$A$8:$Y$324,11,FALSE)+VLOOKUP(A215,'Change in Proportion Layers'!$A$8:$Y$324,17,FALSE)+VLOOKUP(A215,'Change in Proportion Layers'!$A$8:$Y$324,22,FALSE)</f>
        <v>-127975</v>
      </c>
      <c r="S215" s="64">
        <f>+M215+VLOOKUP(A215,'Change in Proportion Layers'!$A$8:$Y$324,5,FALSE)+VLOOKUP(A215,'Change in Proportion Layers'!$A$8:$Y$324,12,FALSE)+VLOOKUP(A215,'Change in Proportion Layers'!$A$8:$Y$324,18,FALSE)</f>
        <v>-80383</v>
      </c>
      <c r="T215" s="64">
        <f>+N215+VLOOKUP(A215,'Change in Proportion Layers'!$A$8:$Y$324,6,FALSE)+VLOOKUP(A215,'Change in Proportion Layers'!$A$8:$Y$324,13,FALSE)</f>
        <v>-111242</v>
      </c>
      <c r="U215" s="64">
        <f>+O215+VLOOKUP(A215,'Change in Proportion Layers'!$A$8:$Y$324,7,FALSE)+2</f>
        <v>-53590</v>
      </c>
      <c r="W215" s="64">
        <f>('OPEB Amounts_Report'!H216-'OPEB Amounts_Report'!M216)</f>
        <v>-3603804</v>
      </c>
      <c r="X215" s="129">
        <f>SUM(Q215:U215)-('OPEB Amounts_Report'!H215-'OPEB Amounts_Report'!M215)</f>
        <v>0</v>
      </c>
    </row>
    <row r="216" spans="1:24">
      <c r="A216" s="184">
        <v>3240</v>
      </c>
      <c r="B216" s="185" t="s">
        <v>205</v>
      </c>
      <c r="C216" s="63">
        <f t="shared" si="3"/>
        <v>-1196224</v>
      </c>
      <c r="D216" s="63">
        <f t="shared" si="3"/>
        <v>-824424</v>
      </c>
      <c r="E216" s="63">
        <f t="shared" si="3"/>
        <v>-494718</v>
      </c>
      <c r="F216" s="63">
        <f t="shared" si="3"/>
        <v>-647936</v>
      </c>
      <c r="G216" s="63">
        <f t="shared" si="3"/>
        <v>-440502</v>
      </c>
      <c r="I216" s="186"/>
      <c r="K216" s="64">
        <f>ROUND(VLOOKUP($A216,'Contribution Allocation_Report'!$A$9:$D$311,4,FALSE)*$K$326,0)</f>
        <v>-877419</v>
      </c>
      <c r="L216" s="64">
        <f>ROUND(VLOOKUP($A216,'Contribution Allocation_Report'!$A$9:$D$311,4,FALSE)*$L$326,0)</f>
        <v>-637582</v>
      </c>
      <c r="M216" s="64">
        <f>ROUND(VLOOKUP($A216,'Contribution Allocation_Report'!$A$9:$D$311,4,FALSE)*$M$326,0)</f>
        <v>-384759</v>
      </c>
      <c r="N216" s="64">
        <f>ROUND(VLOOKUP($A216,'Contribution Allocation_Report'!$A$9:$D$311,4,FALSE)*$N$326,0)</f>
        <v>-580089</v>
      </c>
      <c r="O216" s="64">
        <f>ROUND(VLOOKUP($A216,'Contribution Allocation_Report'!$A$9:$D$311,4,FALSE)*$O$326,0)</f>
        <v>-330459</v>
      </c>
      <c r="Q216" s="64">
        <f>+K216+VLOOKUP(A216,'Change in Proportion Layers'!$A$8:$N$324,3,FALSE)+VLOOKUP(A216,'Change in Proportion Layers'!$A$8:$Y$324,10,FALSE)+VLOOKUP(A216,'Change in Proportion Layers'!$A$8:$Y$324,16,FALSE)+VLOOKUP(A216,'Change in Proportion Layers'!$A$8:$Y$324,21,FALSE)+VLOOKUP(A216,'Change in Proportion Layers'!$A$8:$Y$324,25,FALSE)</f>
        <v>-1196224</v>
      </c>
      <c r="R216" s="64">
        <f>+L216+VLOOKUP(A216,'Change in Proportion Layers'!$A$8:$Y$324,4,FALSE)+VLOOKUP(A216,'Change in Proportion Layers'!$A$8:$Y$324,11,FALSE)+VLOOKUP(A216,'Change in Proportion Layers'!$A$8:$Y$324,17,FALSE)+VLOOKUP(A216,'Change in Proportion Layers'!$A$8:$Y$324,22,FALSE)</f>
        <v>-824424</v>
      </c>
      <c r="S216" s="64">
        <f>+M216+VLOOKUP(A216,'Change in Proportion Layers'!$A$8:$Y$324,5,FALSE)+VLOOKUP(A216,'Change in Proportion Layers'!$A$8:$Y$324,12,FALSE)+VLOOKUP(A216,'Change in Proportion Layers'!$A$8:$Y$324,18,FALSE)</f>
        <v>-494718</v>
      </c>
      <c r="T216" s="64">
        <f>+N216+VLOOKUP(A216,'Change in Proportion Layers'!$A$8:$Y$324,6,FALSE)+VLOOKUP(A216,'Change in Proportion Layers'!$A$8:$Y$324,13,FALSE)</f>
        <v>-647936</v>
      </c>
      <c r="U216" s="64">
        <f>+O216+VLOOKUP(A216,'Change in Proportion Layers'!$A$8:$Y$324,7,FALSE)</f>
        <v>-440502</v>
      </c>
      <c r="W216" s="64">
        <f>('OPEB Amounts_Report'!H217-'OPEB Amounts_Report'!M217)</f>
        <v>-131495</v>
      </c>
      <c r="X216" s="129">
        <f>SUM(Q216:U216)-('OPEB Amounts_Report'!H216-'OPEB Amounts_Report'!M216)</f>
        <v>0</v>
      </c>
    </row>
    <row r="217" spans="1:24">
      <c r="A217" s="187">
        <v>12326</v>
      </c>
      <c r="B217" s="188" t="s">
        <v>206</v>
      </c>
      <c r="C217" s="5">
        <f t="shared" si="3"/>
        <v>-43554</v>
      </c>
      <c r="D217" s="5">
        <f t="shared" si="3"/>
        <v>-26627</v>
      </c>
      <c r="E217" s="5">
        <f t="shared" si="3"/>
        <v>-8813</v>
      </c>
      <c r="F217" s="5">
        <f t="shared" si="3"/>
        <v>-36645</v>
      </c>
      <c r="G217" s="5">
        <f t="shared" si="3"/>
        <v>-15856</v>
      </c>
      <c r="I217" s="186"/>
      <c r="K217" s="64">
        <f>ROUND(VLOOKUP($A217,'Contribution Allocation_Report'!$A$9:$D$311,4,FALSE)*$K$326,0)</f>
        <v>-54114</v>
      </c>
      <c r="L217" s="64">
        <f>ROUND(VLOOKUP($A217,'Contribution Allocation_Report'!$A$9:$D$311,4,FALSE)*$L$326,0)</f>
        <v>-39322</v>
      </c>
      <c r="M217" s="64">
        <f>ROUND(VLOOKUP($A217,'Contribution Allocation_Report'!$A$9:$D$311,4,FALSE)*$M$326,0)</f>
        <v>-23730</v>
      </c>
      <c r="N217" s="64">
        <f>ROUND(VLOOKUP($A217,'Contribution Allocation_Report'!$A$9:$D$311,4,FALSE)*$N$326,0)</f>
        <v>-35776</v>
      </c>
      <c r="O217" s="64">
        <f>ROUND(VLOOKUP($A217,'Contribution Allocation_Report'!$A$9:$D$311,4,FALSE)*$O$326,0)</f>
        <v>-20381</v>
      </c>
      <c r="Q217" s="64">
        <f>+K217+VLOOKUP(A217,'Change in Proportion Layers'!$A$8:$N$324,3,FALSE)+VLOOKUP(A217,'Change in Proportion Layers'!$A$8:$Y$324,10,FALSE)+VLOOKUP(A217,'Change in Proportion Layers'!$A$8:$Y$324,16,FALSE)+VLOOKUP(A217,'Change in Proportion Layers'!$A$8:$Y$324,21,FALSE)+VLOOKUP(A217,'Change in Proportion Layers'!$A$8:$Y$324,25,FALSE)</f>
        <v>-43554</v>
      </c>
      <c r="R217" s="64">
        <f>+L217+VLOOKUP(A217,'Change in Proportion Layers'!$A$8:$Y$324,4,FALSE)+VLOOKUP(A217,'Change in Proportion Layers'!$A$8:$Y$324,11,FALSE)+VLOOKUP(A217,'Change in Proportion Layers'!$A$8:$Y$324,17,FALSE)+VLOOKUP(A217,'Change in Proportion Layers'!$A$8:$Y$324,22,FALSE)</f>
        <v>-26627</v>
      </c>
      <c r="S217" s="64">
        <f>+M217+VLOOKUP(A217,'Change in Proportion Layers'!$A$8:$Y$324,5,FALSE)+VLOOKUP(A217,'Change in Proportion Layers'!$A$8:$Y$324,12,FALSE)+VLOOKUP(A217,'Change in Proportion Layers'!$A$8:$Y$324,18,FALSE)</f>
        <v>-8813</v>
      </c>
      <c r="T217" s="64">
        <f>+N217+VLOOKUP(A217,'Change in Proportion Layers'!$A$8:$Y$324,6,FALSE)+VLOOKUP(A217,'Change in Proportion Layers'!$A$8:$Y$324,13,FALSE)</f>
        <v>-36645</v>
      </c>
      <c r="U217" s="64">
        <f>+O217+VLOOKUP(A217,'Change in Proportion Layers'!$A$8:$Y$324,7,FALSE)</f>
        <v>-15856</v>
      </c>
      <c r="W217" s="64">
        <f>('OPEB Amounts_Report'!H218-'OPEB Amounts_Report'!M218)</f>
        <v>71238</v>
      </c>
      <c r="X217" s="129">
        <f>SUM(Q217:U217)-('OPEB Amounts_Report'!H217-'OPEB Amounts_Report'!M217)</f>
        <v>0</v>
      </c>
    </row>
    <row r="218" spans="1:24">
      <c r="A218" s="184">
        <v>2445</v>
      </c>
      <c r="B218" s="185" t="s">
        <v>533</v>
      </c>
      <c r="C218" s="63">
        <f t="shared" ref="C218:G233" si="4">+Q218</f>
        <v>9250</v>
      </c>
      <c r="D218" s="63">
        <f t="shared" si="4"/>
        <v>13463</v>
      </c>
      <c r="E218" s="63">
        <f t="shared" si="4"/>
        <v>17905</v>
      </c>
      <c r="F218" s="63">
        <f t="shared" si="4"/>
        <v>14473</v>
      </c>
      <c r="G218" s="63">
        <f t="shared" si="4"/>
        <v>16147</v>
      </c>
      <c r="I218" s="186"/>
      <c r="K218" s="64">
        <f>ROUND(VLOOKUP($A218,'Contribution Allocation_Report'!$A$9:$D$311,4,FALSE)*$K$326,0)</f>
        <v>-15414</v>
      </c>
      <c r="L218" s="64">
        <f>ROUND(VLOOKUP($A218,'Contribution Allocation_Report'!$A$9:$D$311,4,FALSE)*$L$326,0)</f>
        <v>-11201</v>
      </c>
      <c r="M218" s="64">
        <f>ROUND(VLOOKUP($A218,'Contribution Allocation_Report'!$A$9:$D$311,4,FALSE)*$M$326,0)</f>
        <v>-6759</v>
      </c>
      <c r="N218" s="64">
        <f>ROUND(VLOOKUP($A218,'Contribution Allocation_Report'!$A$9:$D$311,4,FALSE)*$N$326,0)</f>
        <v>-10191</v>
      </c>
      <c r="O218" s="64">
        <f>ROUND(VLOOKUP($A218,'Contribution Allocation_Report'!$A$9:$D$311,4,FALSE)*$O$326,0)</f>
        <v>-5805</v>
      </c>
      <c r="Q218" s="64">
        <f>+K218+VLOOKUP(A218,'Change in Proportion Layers'!$A$8:$N$324,3,FALSE)+VLOOKUP(A218,'Change in Proportion Layers'!$A$8:$Y$324,10,FALSE)+VLOOKUP(A218,'Change in Proportion Layers'!$A$8:$Y$324,16,FALSE)+VLOOKUP(A218,'Change in Proportion Layers'!$A$8:$Y$324,21,FALSE)+VLOOKUP(A218,'Change in Proportion Layers'!$A$8:$Y$324,25,FALSE)</f>
        <v>9250</v>
      </c>
      <c r="R218" s="64">
        <f>+L218+VLOOKUP(A218,'Change in Proportion Layers'!$A$8:$Y$324,4,FALSE)+VLOOKUP(A218,'Change in Proportion Layers'!$A$8:$Y$324,11,FALSE)+VLOOKUP(A218,'Change in Proportion Layers'!$A$8:$Y$324,17,FALSE)+VLOOKUP(A218,'Change in Proportion Layers'!$A$8:$Y$324,22,FALSE)</f>
        <v>13463</v>
      </c>
      <c r="S218" s="64">
        <f>+M218+VLOOKUP(A218,'Change in Proportion Layers'!$A$8:$Y$324,5,FALSE)+VLOOKUP(A218,'Change in Proportion Layers'!$A$8:$Y$324,12,FALSE)+VLOOKUP(A218,'Change in Proportion Layers'!$A$8:$Y$324,18,FALSE)</f>
        <v>17905</v>
      </c>
      <c r="T218" s="64">
        <f>+N218+VLOOKUP(A218,'Change in Proportion Layers'!$A$8:$Y$324,6,FALSE)+VLOOKUP(A218,'Change in Proportion Layers'!$A$8:$Y$324,13,FALSE)</f>
        <v>14473</v>
      </c>
      <c r="U218" s="64">
        <f>+O218+VLOOKUP(A218,'Change in Proportion Layers'!$A$8:$Y$324,7,FALSE)</f>
        <v>16147</v>
      </c>
      <c r="W218" s="64">
        <f>('OPEB Amounts_Report'!H219-'OPEB Amounts_Report'!M219)</f>
        <v>-28386514</v>
      </c>
      <c r="X218" s="129">
        <f>SUM(Q218:U218)-('OPEB Amounts_Report'!H218-'OPEB Amounts_Report'!M218)</f>
        <v>0</v>
      </c>
    </row>
    <row r="219" spans="1:24">
      <c r="A219" s="187">
        <v>29123</v>
      </c>
      <c r="B219" s="188" t="s">
        <v>207</v>
      </c>
      <c r="C219" s="5">
        <f t="shared" si="4"/>
        <v>-8990768</v>
      </c>
      <c r="D219" s="5">
        <f t="shared" si="4"/>
        <v>-6165864</v>
      </c>
      <c r="E219" s="5">
        <f t="shared" si="4"/>
        <v>-1769797</v>
      </c>
      <c r="F219" s="5">
        <f t="shared" si="4"/>
        <v>-7429791</v>
      </c>
      <c r="G219" s="5">
        <f t="shared" si="4"/>
        <v>-4030294</v>
      </c>
      <c r="I219" s="186"/>
      <c r="K219" s="64">
        <f>ROUND(VLOOKUP($A219,'Contribution Allocation_Report'!$A$9:$D$311,4,FALSE)*$K$326,0)</f>
        <v>-10332361</v>
      </c>
      <c r="L219" s="64">
        <f>ROUND(VLOOKUP($A219,'Contribution Allocation_Report'!$A$9:$D$311,4,FALSE)*$L$326,0)</f>
        <v>-7508075</v>
      </c>
      <c r="M219" s="64">
        <f>ROUND(VLOOKUP($A219,'Contribution Allocation_Report'!$A$9:$D$311,4,FALSE)*$M$326,0)</f>
        <v>-4530863</v>
      </c>
      <c r="N219" s="64">
        <f>ROUND(VLOOKUP($A219,'Contribution Allocation_Report'!$A$9:$D$311,4,FALSE)*$N$326,0)</f>
        <v>-6831047</v>
      </c>
      <c r="O219" s="64">
        <f>ROUND(VLOOKUP($A219,'Contribution Allocation_Report'!$A$9:$D$311,4,FALSE)*$O$326,0)</f>
        <v>-3891438</v>
      </c>
      <c r="Q219" s="64">
        <f>+K219+VLOOKUP(A219,'Change in Proportion Layers'!$A$8:$N$324,3,FALSE)+VLOOKUP(A219,'Change in Proportion Layers'!$A$8:$Y$324,10,FALSE)+VLOOKUP(A219,'Change in Proportion Layers'!$A$8:$Y$324,16,FALSE)+VLOOKUP(A219,'Change in Proportion Layers'!$A$8:$Y$324,21,FALSE)+VLOOKUP(A219,'Change in Proportion Layers'!$A$8:$Y$324,25,FALSE)</f>
        <v>-8990768</v>
      </c>
      <c r="R219" s="64">
        <f>+L219+VLOOKUP(A219,'Change in Proportion Layers'!$A$8:$Y$324,4,FALSE)+VLOOKUP(A219,'Change in Proportion Layers'!$A$8:$Y$324,11,FALSE)+VLOOKUP(A219,'Change in Proportion Layers'!$A$8:$Y$324,17,FALSE)+VLOOKUP(A219,'Change in Proportion Layers'!$A$8:$Y$324,22,FALSE)</f>
        <v>-6165864</v>
      </c>
      <c r="S219" s="64">
        <f>+M219+VLOOKUP(A219,'Change in Proportion Layers'!$A$8:$Y$324,5,FALSE)+VLOOKUP(A219,'Change in Proportion Layers'!$A$8:$Y$324,12,FALSE)+VLOOKUP(A219,'Change in Proportion Layers'!$A$8:$Y$324,18,FALSE)</f>
        <v>-1769797</v>
      </c>
      <c r="T219" s="64">
        <f>+N219+VLOOKUP(A219,'Change in Proportion Layers'!$A$8:$Y$324,6,FALSE)+VLOOKUP(A219,'Change in Proportion Layers'!$A$8:$Y$324,13,FALSE)</f>
        <v>-7429791</v>
      </c>
      <c r="U219" s="64">
        <f>+O219+VLOOKUP(A219,'Change in Proportion Layers'!$A$8:$Y$324,7,FALSE)</f>
        <v>-4030294</v>
      </c>
      <c r="W219" s="64">
        <f>('OPEB Amounts_Report'!H219-'OPEB Amounts_Report'!M219)</f>
        <v>-28386514</v>
      </c>
      <c r="X219" s="129">
        <f>SUM(Q219:U219)-('OPEB Amounts_Report'!H219-'OPEB Amounts_Report'!M219)</f>
        <v>0</v>
      </c>
    </row>
    <row r="220" spans="1:24">
      <c r="A220" s="184">
        <v>2318</v>
      </c>
      <c r="B220" s="185" t="s">
        <v>208</v>
      </c>
      <c r="C220" s="6">
        <f t="shared" si="4"/>
        <v>-201007</v>
      </c>
      <c r="D220" s="6">
        <f t="shared" si="4"/>
        <v>-141870</v>
      </c>
      <c r="E220" s="6">
        <f t="shared" si="4"/>
        <v>-67457</v>
      </c>
      <c r="F220" s="6">
        <f t="shared" si="4"/>
        <v>-141629</v>
      </c>
      <c r="G220" s="6">
        <f t="shared" si="4"/>
        <v>-83918</v>
      </c>
      <c r="I220" s="186"/>
      <c r="K220" s="64">
        <f>ROUND(VLOOKUP($A220,'Contribution Allocation_Report'!$A$9:$D$311,4,FALSE)*$K$326,0)</f>
        <v>-242632</v>
      </c>
      <c r="L220" s="64">
        <f>ROUND(VLOOKUP($A220,'Contribution Allocation_Report'!$A$9:$D$311,4,FALSE)*$L$326,0)</f>
        <v>-176310</v>
      </c>
      <c r="M220" s="64">
        <f>ROUND(VLOOKUP($A220,'Contribution Allocation_Report'!$A$9:$D$311,4,FALSE)*$M$326,0)</f>
        <v>-106397</v>
      </c>
      <c r="N220" s="64">
        <f>ROUND(VLOOKUP($A220,'Contribution Allocation_Report'!$A$9:$D$311,4,FALSE)*$N$326,0)</f>
        <v>-160411</v>
      </c>
      <c r="O220" s="64">
        <f>ROUND(VLOOKUP($A220,'Contribution Allocation_Report'!$A$9:$D$311,4,FALSE)*$O$326,0)</f>
        <v>-91381</v>
      </c>
      <c r="Q220" s="64">
        <f>+K220+VLOOKUP(A220,'Change in Proportion Layers'!$A$8:$N$324,3,FALSE)+VLOOKUP(A220,'Change in Proportion Layers'!$A$8:$Y$324,10,FALSE)+VLOOKUP(A220,'Change in Proportion Layers'!$A$8:$Y$324,16,FALSE)+VLOOKUP(A220,'Change in Proportion Layers'!$A$8:$Y$324,21,FALSE)+VLOOKUP(A220,'Change in Proportion Layers'!$A$8:$Y$324,25,FALSE)</f>
        <v>-201007</v>
      </c>
      <c r="R220" s="64">
        <f>+L220+VLOOKUP(A220,'Change in Proportion Layers'!$A$8:$Y$324,4,FALSE)+VLOOKUP(A220,'Change in Proportion Layers'!$A$8:$Y$324,11,FALSE)+VLOOKUP(A220,'Change in Proportion Layers'!$A$8:$Y$324,17,FALSE)+VLOOKUP(A220,'Change in Proportion Layers'!$A$8:$Y$324,22,FALSE)</f>
        <v>-141870</v>
      </c>
      <c r="S220" s="64">
        <f>+M220+VLOOKUP(A220,'Change in Proportion Layers'!$A$8:$Y$324,5,FALSE)+VLOOKUP(A220,'Change in Proportion Layers'!$A$8:$Y$324,12,FALSE)+VLOOKUP(A220,'Change in Proportion Layers'!$A$8:$Y$324,18,FALSE)</f>
        <v>-67457</v>
      </c>
      <c r="T220" s="64">
        <f>+N220+VLOOKUP(A220,'Change in Proportion Layers'!$A$8:$Y$324,6,FALSE)+VLOOKUP(A220,'Change in Proportion Layers'!$A$8:$Y$324,13,FALSE)</f>
        <v>-141629</v>
      </c>
      <c r="U220" s="64">
        <f>+O220+VLOOKUP(A220,'Change in Proportion Layers'!$A$8:$Y$324,7,FALSE)</f>
        <v>-83918</v>
      </c>
      <c r="W220" s="64">
        <f>('OPEB Amounts_Report'!H220-'OPEB Amounts_Report'!M220)</f>
        <v>-635881</v>
      </c>
      <c r="X220" s="129">
        <f>SUM(Q220:U220)-('OPEB Amounts_Report'!H220-'OPEB Amounts_Report'!M220)</f>
        <v>0</v>
      </c>
    </row>
    <row r="221" spans="1:24">
      <c r="A221" s="187">
        <v>3250</v>
      </c>
      <c r="B221" s="188" t="s">
        <v>209</v>
      </c>
      <c r="C221" s="5">
        <f t="shared" si="4"/>
        <v>-345146</v>
      </c>
      <c r="D221" s="5">
        <f t="shared" si="4"/>
        <v>-288464</v>
      </c>
      <c r="E221" s="5">
        <f t="shared" si="4"/>
        <v>-174847</v>
      </c>
      <c r="F221" s="5">
        <f t="shared" si="4"/>
        <v>-219793</v>
      </c>
      <c r="G221" s="5">
        <f t="shared" si="4"/>
        <v>-110107</v>
      </c>
      <c r="I221" s="186"/>
      <c r="K221" s="64">
        <f>ROUND(VLOOKUP($A221,'Contribution Allocation_Report'!$A$9:$D$311,4,FALSE)*$K$326,0)</f>
        <v>-329395</v>
      </c>
      <c r="L221" s="64">
        <f>ROUND(VLOOKUP($A221,'Contribution Allocation_Report'!$A$9:$D$311,4,FALSE)*$L$326,0)</f>
        <v>-239357</v>
      </c>
      <c r="M221" s="64">
        <f>ROUND(VLOOKUP($A221,'Contribution Allocation_Report'!$A$9:$D$311,4,FALSE)*$M$326,0)</f>
        <v>-144443</v>
      </c>
      <c r="N221" s="64">
        <f>ROUND(VLOOKUP($A221,'Contribution Allocation_Report'!$A$9:$D$311,4,FALSE)*$N$326,0)</f>
        <v>-217773</v>
      </c>
      <c r="O221" s="64">
        <f>ROUND(VLOOKUP($A221,'Contribution Allocation_Report'!$A$9:$D$311,4,FALSE)*$O$326,0)</f>
        <v>-124059</v>
      </c>
      <c r="Q221" s="64">
        <f>+K221+VLOOKUP(A221,'Change in Proportion Layers'!$A$8:$N$324,3,FALSE)+VLOOKUP(A221,'Change in Proportion Layers'!$A$8:$Y$324,10,FALSE)+VLOOKUP(A221,'Change in Proportion Layers'!$A$8:$Y$324,16,FALSE)+VLOOKUP(A221,'Change in Proportion Layers'!$A$8:$Y$324,21,FALSE)+VLOOKUP(A221,'Change in Proportion Layers'!$A$8:$Y$324,25,FALSE)</f>
        <v>-345146</v>
      </c>
      <c r="R221" s="64">
        <f>+L221+VLOOKUP(A221,'Change in Proportion Layers'!$A$8:$Y$324,4,FALSE)+VLOOKUP(A221,'Change in Proportion Layers'!$A$8:$Y$324,11,FALSE)+VLOOKUP(A221,'Change in Proportion Layers'!$A$8:$Y$324,17,FALSE)+VLOOKUP(A221,'Change in Proportion Layers'!$A$8:$Y$324,22,FALSE)</f>
        <v>-288464</v>
      </c>
      <c r="S221" s="64">
        <f>+M221+VLOOKUP(A221,'Change in Proportion Layers'!$A$8:$Y$324,5,FALSE)+VLOOKUP(A221,'Change in Proportion Layers'!$A$8:$Y$324,12,FALSE)+VLOOKUP(A221,'Change in Proportion Layers'!$A$8:$Y$324,18,FALSE)</f>
        <v>-174847</v>
      </c>
      <c r="T221" s="64">
        <f>+N221+VLOOKUP(A221,'Change in Proportion Layers'!$A$8:$Y$324,6,FALSE)+VLOOKUP(A221,'Change in Proportion Layers'!$A$8:$Y$324,13,FALSE)</f>
        <v>-219793</v>
      </c>
      <c r="U221" s="64">
        <f>+O221+VLOOKUP(A221,'Change in Proportion Layers'!$A$8:$Y$324,7,FALSE)+1</f>
        <v>-110107</v>
      </c>
      <c r="W221" s="64">
        <f>('OPEB Amounts_Report'!H221-'OPEB Amounts_Report'!M221)</f>
        <v>-1138357</v>
      </c>
      <c r="X221" s="129">
        <f>SUM(Q221:U221)-('OPEB Amounts_Report'!H221-'OPEB Amounts_Report'!M221)</f>
        <v>0</v>
      </c>
    </row>
    <row r="222" spans="1:24">
      <c r="A222" s="184">
        <v>2313</v>
      </c>
      <c r="B222" s="185" t="s">
        <v>210</v>
      </c>
      <c r="C222" s="63">
        <f t="shared" si="4"/>
        <v>-35124</v>
      </c>
      <c r="D222" s="63">
        <f t="shared" si="4"/>
        <v>-17214</v>
      </c>
      <c r="E222" s="63">
        <f t="shared" si="4"/>
        <v>-2337</v>
      </c>
      <c r="F222" s="63">
        <f t="shared" si="4"/>
        <v>-10358</v>
      </c>
      <c r="G222" s="63">
        <f t="shared" si="4"/>
        <v>-4230</v>
      </c>
      <c r="I222" s="186"/>
      <c r="K222" s="64">
        <f>ROUND(VLOOKUP($A222,'Contribution Allocation_Report'!$A$9:$D$311,4,FALSE)*$K$326,0)</f>
        <v>-40567</v>
      </c>
      <c r="L222" s="64">
        <f>ROUND(VLOOKUP($A222,'Contribution Allocation_Report'!$A$9:$D$311,4,FALSE)*$L$326,0)</f>
        <v>-29478</v>
      </c>
      <c r="M222" s="64">
        <f>ROUND(VLOOKUP($A222,'Contribution Allocation_Report'!$A$9:$D$311,4,FALSE)*$M$326,0)</f>
        <v>-17789</v>
      </c>
      <c r="N222" s="64">
        <f>ROUND(VLOOKUP($A222,'Contribution Allocation_Report'!$A$9:$D$311,4,FALSE)*$N$326,0)</f>
        <v>-26820</v>
      </c>
      <c r="O222" s="64">
        <f>ROUND(VLOOKUP($A222,'Contribution Allocation_Report'!$A$9:$D$311,4,FALSE)*$O$326,0)</f>
        <v>-15279</v>
      </c>
      <c r="Q222" s="64">
        <f>+K222+VLOOKUP(A222,'Change in Proportion Layers'!$A$8:$N$324,3,FALSE)+VLOOKUP(A222,'Change in Proportion Layers'!$A$8:$Y$324,10,FALSE)+VLOOKUP(A222,'Change in Proportion Layers'!$A$8:$Y$324,16,FALSE)+VLOOKUP(A222,'Change in Proportion Layers'!$A$8:$Y$324,21,FALSE)+VLOOKUP(A222,'Change in Proportion Layers'!$A$8:$Y$324,25,FALSE)</f>
        <v>-35124</v>
      </c>
      <c r="R222" s="64">
        <f>+L222+VLOOKUP(A222,'Change in Proportion Layers'!$A$8:$Y$324,4,FALSE)+VLOOKUP(A222,'Change in Proportion Layers'!$A$8:$Y$324,11,FALSE)+VLOOKUP(A222,'Change in Proportion Layers'!$A$8:$Y$324,17,FALSE)+VLOOKUP(A222,'Change in Proportion Layers'!$A$8:$Y$324,22,FALSE)</f>
        <v>-17214</v>
      </c>
      <c r="S222" s="64">
        <f>+M222+VLOOKUP(A222,'Change in Proportion Layers'!$A$8:$Y$324,5,FALSE)+VLOOKUP(A222,'Change in Proportion Layers'!$A$8:$Y$324,12,FALSE)+VLOOKUP(A222,'Change in Proportion Layers'!$A$8:$Y$324,18,FALSE)</f>
        <v>-2337</v>
      </c>
      <c r="T222" s="64">
        <f>+N222+VLOOKUP(A222,'Change in Proportion Layers'!$A$8:$Y$324,6,FALSE)+VLOOKUP(A222,'Change in Proportion Layers'!$A$8:$Y$324,13,FALSE)</f>
        <v>-10358</v>
      </c>
      <c r="U222" s="64">
        <f>+O222+VLOOKUP(A222,'Change in Proportion Layers'!$A$8:$Y$324,7,FALSE)</f>
        <v>-4230</v>
      </c>
      <c r="W222" s="64">
        <f>('OPEB Amounts_Report'!H222-'OPEB Amounts_Report'!M222)</f>
        <v>-69263</v>
      </c>
      <c r="X222" s="129">
        <f>SUM(Q222:U222)-('OPEB Amounts_Report'!H222-'OPEB Amounts_Report'!M222)</f>
        <v>0</v>
      </c>
    </row>
    <row r="223" spans="1:24">
      <c r="A223" s="187">
        <v>4011</v>
      </c>
      <c r="B223" s="188" t="s">
        <v>211</v>
      </c>
      <c r="C223" s="5">
        <f t="shared" si="4"/>
        <v>-4740462</v>
      </c>
      <c r="D223" s="5">
        <f t="shared" si="4"/>
        <v>-3160772</v>
      </c>
      <c r="E223" s="5">
        <f t="shared" si="4"/>
        <v>-1941805</v>
      </c>
      <c r="F223" s="5">
        <f t="shared" si="4"/>
        <v>-3512867</v>
      </c>
      <c r="G223" s="5">
        <f t="shared" si="4"/>
        <v>-2045551</v>
      </c>
      <c r="I223" s="186"/>
      <c r="K223" s="64">
        <f>ROUND(VLOOKUP($A223,'Contribution Allocation_Report'!$A$9:$D$311,4,FALSE)*$K$326,0)</f>
        <v>-6082486</v>
      </c>
      <c r="L223" s="64">
        <f>ROUND(VLOOKUP($A223,'Contribution Allocation_Report'!$A$9:$D$311,4,FALSE)*$L$326,0)</f>
        <v>-4419877</v>
      </c>
      <c r="M223" s="64">
        <f>ROUND(VLOOKUP($A223,'Contribution Allocation_Report'!$A$9:$D$311,4,FALSE)*$M$326,0)</f>
        <v>-2667242</v>
      </c>
      <c r="N223" s="64">
        <f>ROUND(VLOOKUP($A223,'Contribution Allocation_Report'!$A$9:$D$311,4,FALSE)*$N$326,0)</f>
        <v>-4021322</v>
      </c>
      <c r="O223" s="64">
        <f>ROUND(VLOOKUP($A223,'Contribution Allocation_Report'!$A$9:$D$311,4,FALSE)*$O$326,0)</f>
        <v>-2290824</v>
      </c>
      <c r="Q223" s="64">
        <f>+K223+VLOOKUP(A223,'Change in Proportion Layers'!$A$8:$N$324,3,FALSE)+VLOOKUP(A223,'Change in Proportion Layers'!$A$8:$Y$324,10,FALSE)+VLOOKUP(A223,'Change in Proportion Layers'!$A$8:$Y$324,16,FALSE)+VLOOKUP(A223,'Change in Proportion Layers'!$A$8:$Y$324,21,FALSE)+VLOOKUP(A223,'Change in Proportion Layers'!$A$8:$Y$324,25,FALSE)</f>
        <v>-4740462</v>
      </c>
      <c r="R223" s="64">
        <f>+L223+VLOOKUP(A223,'Change in Proportion Layers'!$A$8:$Y$324,4,FALSE)+VLOOKUP(A223,'Change in Proportion Layers'!$A$8:$Y$324,11,FALSE)+VLOOKUP(A223,'Change in Proportion Layers'!$A$8:$Y$324,17,FALSE)+VLOOKUP(A223,'Change in Proportion Layers'!$A$8:$Y$324,22,FALSE)</f>
        <v>-3160772</v>
      </c>
      <c r="S223" s="64">
        <f>+M223+VLOOKUP(A223,'Change in Proportion Layers'!$A$8:$Y$324,5,FALSE)+VLOOKUP(A223,'Change in Proportion Layers'!$A$8:$Y$324,12,FALSE)+VLOOKUP(A223,'Change in Proportion Layers'!$A$8:$Y$324,18,FALSE)</f>
        <v>-1941805</v>
      </c>
      <c r="T223" s="64">
        <f>+N223+VLOOKUP(A223,'Change in Proportion Layers'!$A$8:$Y$324,6,FALSE)+VLOOKUP(A223,'Change in Proportion Layers'!$A$8:$Y$324,13,FALSE)</f>
        <v>-3512867</v>
      </c>
      <c r="U223" s="64">
        <f>+O223+VLOOKUP(A223,'Change in Proportion Layers'!$A$8:$Y$324,7,FALSE)+1</f>
        <v>-2045551</v>
      </c>
      <c r="W223" s="64">
        <f>('OPEB Amounts_Report'!H223-'OPEB Amounts_Report'!M223)</f>
        <v>-15401457</v>
      </c>
      <c r="X223" s="129">
        <f>SUM(Q223:U223)-('OPEB Amounts_Report'!H223-'OPEB Amounts_Report'!M223)</f>
        <v>0</v>
      </c>
    </row>
    <row r="224" spans="1:24">
      <c r="A224" s="184">
        <v>31092</v>
      </c>
      <c r="B224" s="185" t="s">
        <v>212</v>
      </c>
      <c r="C224" s="63">
        <f t="shared" si="4"/>
        <v>-79704</v>
      </c>
      <c r="D224" s="63">
        <f t="shared" si="4"/>
        <v>-53267</v>
      </c>
      <c r="E224" s="63">
        <f t="shared" si="4"/>
        <v>-19563</v>
      </c>
      <c r="F224" s="63">
        <f t="shared" si="4"/>
        <v>-47185</v>
      </c>
      <c r="G224" s="63">
        <f t="shared" si="4"/>
        <v>-25996</v>
      </c>
      <c r="I224" s="186"/>
      <c r="K224" s="64">
        <f>ROUND(VLOOKUP($A224,'Contribution Allocation_Report'!$A$9:$D$311,4,FALSE)*$K$326,0)</f>
        <v>-104558</v>
      </c>
      <c r="L224" s="64">
        <f>ROUND(VLOOKUP($A224,'Contribution Allocation_Report'!$A$9:$D$311,4,FALSE)*$L$326,0)</f>
        <v>-75978</v>
      </c>
      <c r="M224" s="64">
        <f>ROUND(VLOOKUP($A224,'Contribution Allocation_Report'!$A$9:$D$311,4,FALSE)*$M$326,0)</f>
        <v>-45850</v>
      </c>
      <c r="N224" s="64">
        <f>ROUND(VLOOKUP($A224,'Contribution Allocation_Report'!$A$9:$D$311,4,FALSE)*$N$326,0)</f>
        <v>-69126</v>
      </c>
      <c r="O224" s="64">
        <f>ROUND(VLOOKUP($A224,'Contribution Allocation_Report'!$A$9:$D$311,4,FALSE)*$O$326,0)</f>
        <v>-39379</v>
      </c>
      <c r="Q224" s="64">
        <f>+K224+VLOOKUP(A224,'Change in Proportion Layers'!$A$8:$N$324,3,FALSE)+VLOOKUP(A224,'Change in Proportion Layers'!$A$8:$Y$324,10,FALSE)+VLOOKUP(A224,'Change in Proportion Layers'!$A$8:$Y$324,16,FALSE)+VLOOKUP(A224,'Change in Proportion Layers'!$A$8:$Y$324,21,FALSE)+VLOOKUP(A224,'Change in Proportion Layers'!$A$8:$Y$324,25,FALSE)</f>
        <v>-79704</v>
      </c>
      <c r="R224" s="64">
        <f>+L224+VLOOKUP(A224,'Change in Proportion Layers'!$A$8:$Y$324,4,FALSE)+VLOOKUP(A224,'Change in Proportion Layers'!$A$8:$Y$324,11,FALSE)+VLOOKUP(A224,'Change in Proportion Layers'!$A$8:$Y$324,17,FALSE)+VLOOKUP(A224,'Change in Proportion Layers'!$A$8:$Y$324,22,FALSE)</f>
        <v>-53267</v>
      </c>
      <c r="S224" s="64">
        <f>+M224+VLOOKUP(A224,'Change in Proportion Layers'!$A$8:$Y$324,5,FALSE)+VLOOKUP(A224,'Change in Proportion Layers'!$A$8:$Y$324,12,FALSE)+VLOOKUP(A224,'Change in Proportion Layers'!$A$8:$Y$324,18,FALSE)</f>
        <v>-19563</v>
      </c>
      <c r="T224" s="64">
        <f>+N224+VLOOKUP(A224,'Change in Proportion Layers'!$A$8:$Y$324,6,FALSE)+VLOOKUP(A224,'Change in Proportion Layers'!$A$8:$Y$324,13,FALSE)</f>
        <v>-47185</v>
      </c>
      <c r="U224" s="64">
        <f>+O224+VLOOKUP(A224,'Change in Proportion Layers'!$A$8:$Y$324,7,FALSE)</f>
        <v>-25996</v>
      </c>
      <c r="W224" s="64">
        <f>('OPEB Amounts_Report'!H224-'OPEB Amounts_Report'!M224)</f>
        <v>-225715</v>
      </c>
      <c r="X224" s="129">
        <f>SUM(Q224:U224)-('OPEB Amounts_Report'!H224-'OPEB Amounts_Report'!M224)</f>
        <v>0</v>
      </c>
    </row>
    <row r="225" spans="1:24">
      <c r="A225" s="187">
        <v>26081</v>
      </c>
      <c r="B225" s="188" t="s">
        <v>213</v>
      </c>
      <c r="C225" s="5">
        <f t="shared" si="4"/>
        <v>-1009356</v>
      </c>
      <c r="D225" s="5">
        <f t="shared" si="4"/>
        <v>-827992</v>
      </c>
      <c r="E225" s="5">
        <f t="shared" si="4"/>
        <v>-532988</v>
      </c>
      <c r="F225" s="5">
        <f t="shared" si="4"/>
        <v>-798355</v>
      </c>
      <c r="G225" s="5">
        <f t="shared" si="4"/>
        <v>-438161</v>
      </c>
      <c r="I225" s="186"/>
      <c r="K225" s="64">
        <f>ROUND(VLOOKUP($A225,'Contribution Allocation_Report'!$A$9:$D$311,4,FALSE)*$K$326,0)</f>
        <v>-994267</v>
      </c>
      <c r="L225" s="64">
        <f>ROUND(VLOOKUP($A225,'Contribution Allocation_Report'!$A$9:$D$311,4,FALSE)*$L$326,0)</f>
        <v>-722490</v>
      </c>
      <c r="M225" s="64">
        <f>ROUND(VLOOKUP($A225,'Contribution Allocation_Report'!$A$9:$D$311,4,FALSE)*$M$326,0)</f>
        <v>-435998</v>
      </c>
      <c r="N225" s="64">
        <f>ROUND(VLOOKUP($A225,'Contribution Allocation_Report'!$A$9:$D$311,4,FALSE)*$N$326,0)</f>
        <v>-657341</v>
      </c>
      <c r="O225" s="64">
        <f>ROUND(VLOOKUP($A225,'Contribution Allocation_Report'!$A$9:$D$311,4,FALSE)*$O$326,0)</f>
        <v>-374467</v>
      </c>
      <c r="Q225" s="64">
        <f>+K225+VLOOKUP(A225,'Change in Proportion Layers'!$A$8:$N$324,3,FALSE)+VLOOKUP(A225,'Change in Proportion Layers'!$A$8:$Y$324,10,FALSE)+VLOOKUP(A225,'Change in Proportion Layers'!$A$8:$Y$324,16,FALSE)+VLOOKUP(A225,'Change in Proportion Layers'!$A$8:$Y$324,21,FALSE)+VLOOKUP(A225,'Change in Proportion Layers'!$A$8:$Y$324,25,FALSE)</f>
        <v>-1009356</v>
      </c>
      <c r="R225" s="64">
        <f>+L225+VLOOKUP(A225,'Change in Proportion Layers'!$A$8:$Y$324,4,FALSE)+VLOOKUP(A225,'Change in Proportion Layers'!$A$8:$Y$324,11,FALSE)+VLOOKUP(A225,'Change in Proportion Layers'!$A$8:$Y$324,17,FALSE)+VLOOKUP(A225,'Change in Proportion Layers'!$A$8:$Y$324,22,FALSE)</f>
        <v>-827992</v>
      </c>
      <c r="S225" s="64">
        <f>+M225+VLOOKUP(A225,'Change in Proportion Layers'!$A$8:$Y$324,5,FALSE)+VLOOKUP(A225,'Change in Proportion Layers'!$A$8:$Y$324,12,FALSE)+VLOOKUP(A225,'Change in Proportion Layers'!$A$8:$Y$324,18,FALSE)</f>
        <v>-532988</v>
      </c>
      <c r="T225" s="64">
        <f>+N225+VLOOKUP(A225,'Change in Proportion Layers'!$A$8:$Y$324,6,FALSE)+VLOOKUP(A225,'Change in Proportion Layers'!$A$8:$Y$324,13,FALSE)</f>
        <v>-798355</v>
      </c>
      <c r="U225" s="64">
        <f>+O225+VLOOKUP(A225,'Change in Proportion Layers'!$A$8:$Y$324,7,FALSE)</f>
        <v>-438161</v>
      </c>
      <c r="W225" s="64">
        <f>('OPEB Amounts_Report'!H225-'OPEB Amounts_Report'!M225)</f>
        <v>-3606852</v>
      </c>
      <c r="X225" s="129">
        <f>SUM(Q225:U225)-('OPEB Amounts_Report'!H225-'OPEB Amounts_Report'!M225)</f>
        <v>0</v>
      </c>
    </row>
    <row r="226" spans="1:24">
      <c r="A226" s="184">
        <v>29305</v>
      </c>
      <c r="B226" s="185" t="s">
        <v>214</v>
      </c>
      <c r="C226" s="63">
        <f t="shared" si="4"/>
        <v>-62379</v>
      </c>
      <c r="D226" s="63">
        <f t="shared" si="4"/>
        <v>-67577</v>
      </c>
      <c r="E226" s="63">
        <f t="shared" si="4"/>
        <v>-57915</v>
      </c>
      <c r="F226" s="63">
        <f t="shared" si="4"/>
        <v>-77182</v>
      </c>
      <c r="G226" s="63">
        <f t="shared" si="4"/>
        <v>-44102</v>
      </c>
      <c r="I226" s="186"/>
      <c r="K226" s="64">
        <f>ROUND(VLOOKUP($A226,'Contribution Allocation_Report'!$A$9:$D$311,4,FALSE)*$K$326,0)</f>
        <v>-72767</v>
      </c>
      <c r="L226" s="64">
        <f>ROUND(VLOOKUP($A226,'Contribution Allocation_Report'!$A$9:$D$311,4,FALSE)*$L$326,0)</f>
        <v>-52876</v>
      </c>
      <c r="M226" s="64">
        <f>ROUND(VLOOKUP($A226,'Contribution Allocation_Report'!$A$9:$D$311,4,FALSE)*$M$326,0)</f>
        <v>-31909</v>
      </c>
      <c r="N226" s="64">
        <f>ROUND(VLOOKUP($A226,'Contribution Allocation_Report'!$A$9:$D$311,4,FALSE)*$N$326,0)</f>
        <v>-48108</v>
      </c>
      <c r="O226" s="64">
        <f>ROUND(VLOOKUP($A226,'Contribution Allocation_Report'!$A$9:$D$311,4,FALSE)*$O$326,0)</f>
        <v>-27406</v>
      </c>
      <c r="Q226" s="64">
        <f>+K226+VLOOKUP(A226,'Change in Proportion Layers'!$A$8:$N$324,3,FALSE)+VLOOKUP(A226,'Change in Proportion Layers'!$A$8:$Y$324,10,FALSE)+VLOOKUP(A226,'Change in Proportion Layers'!$A$8:$Y$324,16,FALSE)+VLOOKUP(A226,'Change in Proportion Layers'!$A$8:$Y$324,21,FALSE)+VLOOKUP(A226,'Change in Proportion Layers'!$A$8:$Y$324,25,FALSE)</f>
        <v>-62379</v>
      </c>
      <c r="R226" s="64">
        <f>+L226+VLOOKUP(A226,'Change in Proportion Layers'!$A$8:$Y$324,4,FALSE)+VLOOKUP(A226,'Change in Proportion Layers'!$A$8:$Y$324,11,FALSE)+VLOOKUP(A226,'Change in Proportion Layers'!$A$8:$Y$324,17,FALSE)+VLOOKUP(A226,'Change in Proportion Layers'!$A$8:$Y$324,22,FALSE)</f>
        <v>-67577</v>
      </c>
      <c r="S226" s="64">
        <f>+M226+VLOOKUP(A226,'Change in Proportion Layers'!$A$8:$Y$324,5,FALSE)+VLOOKUP(A226,'Change in Proportion Layers'!$A$8:$Y$324,12,FALSE)+VLOOKUP(A226,'Change in Proportion Layers'!$A$8:$Y$324,18,FALSE)</f>
        <v>-57915</v>
      </c>
      <c r="T226" s="64">
        <f>+N226+VLOOKUP(A226,'Change in Proportion Layers'!$A$8:$Y$324,6,FALSE)+VLOOKUP(A226,'Change in Proportion Layers'!$A$8:$Y$324,13,FALSE)</f>
        <v>-77182</v>
      </c>
      <c r="U226" s="64">
        <f>+O226+VLOOKUP(A226,'Change in Proportion Layers'!$A$8:$Y$324,7,FALSE)</f>
        <v>-44102</v>
      </c>
      <c r="W226" s="64">
        <f>('OPEB Amounts_Report'!H226-'OPEB Amounts_Report'!M226)</f>
        <v>-309155</v>
      </c>
      <c r="X226" s="129">
        <f>SUM(Q226:U226)-('OPEB Amounts_Report'!H226-'OPEB Amounts_Report'!M226)</f>
        <v>0</v>
      </c>
    </row>
    <row r="227" spans="1:24">
      <c r="A227" s="187">
        <v>10032</v>
      </c>
      <c r="B227" s="188" t="s">
        <v>215</v>
      </c>
      <c r="C227" s="5">
        <f t="shared" si="4"/>
        <v>-141837</v>
      </c>
      <c r="D227" s="5">
        <f t="shared" si="4"/>
        <v>-121243</v>
      </c>
      <c r="E227" s="5">
        <f t="shared" si="4"/>
        <v>-78577</v>
      </c>
      <c r="F227" s="5">
        <f t="shared" si="4"/>
        <v>-88682</v>
      </c>
      <c r="G227" s="5">
        <f t="shared" si="4"/>
        <v>-51004</v>
      </c>
      <c r="I227" s="186"/>
      <c r="K227" s="64">
        <f>ROUND(VLOOKUP($A227,'Contribution Allocation_Report'!$A$9:$D$311,4,FALSE)*$K$326,0)</f>
        <v>-113820</v>
      </c>
      <c r="L227" s="64">
        <f>ROUND(VLOOKUP($A227,'Contribution Allocation_Report'!$A$9:$D$311,4,FALSE)*$L$326,0)</f>
        <v>-82708</v>
      </c>
      <c r="M227" s="64">
        <f>ROUND(VLOOKUP($A227,'Contribution Allocation_Report'!$A$9:$D$311,4,FALSE)*$M$326,0)</f>
        <v>-49911</v>
      </c>
      <c r="N227" s="64">
        <f>ROUND(VLOOKUP($A227,'Contribution Allocation_Report'!$A$9:$D$311,4,FALSE)*$N$326,0)</f>
        <v>-75250</v>
      </c>
      <c r="O227" s="64">
        <f>ROUND(VLOOKUP($A227,'Contribution Allocation_Report'!$A$9:$D$311,4,FALSE)*$O$326,0)</f>
        <v>-42868</v>
      </c>
      <c r="Q227" s="64">
        <f>+K227+VLOOKUP(A227,'Change in Proportion Layers'!$A$8:$N$324,3,FALSE)+VLOOKUP(A227,'Change in Proportion Layers'!$A$8:$Y$324,10,FALSE)+VLOOKUP(A227,'Change in Proportion Layers'!$A$8:$Y$324,16,FALSE)+VLOOKUP(A227,'Change in Proportion Layers'!$A$8:$Y$324,21,FALSE)+VLOOKUP(A227,'Change in Proportion Layers'!$A$8:$Y$324,25,FALSE)</f>
        <v>-141837</v>
      </c>
      <c r="R227" s="64">
        <f>+L227+VLOOKUP(A227,'Change in Proportion Layers'!$A$8:$Y$324,4,FALSE)+VLOOKUP(A227,'Change in Proportion Layers'!$A$8:$Y$324,11,FALSE)+VLOOKUP(A227,'Change in Proportion Layers'!$A$8:$Y$324,17,FALSE)+VLOOKUP(A227,'Change in Proportion Layers'!$A$8:$Y$324,22,FALSE)</f>
        <v>-121243</v>
      </c>
      <c r="S227" s="64">
        <f>+M227+VLOOKUP(A227,'Change in Proportion Layers'!$A$8:$Y$324,5,FALSE)+VLOOKUP(A227,'Change in Proportion Layers'!$A$8:$Y$324,12,FALSE)+VLOOKUP(A227,'Change in Proportion Layers'!$A$8:$Y$324,18,FALSE)</f>
        <v>-78577</v>
      </c>
      <c r="T227" s="64">
        <f>+N227+VLOOKUP(A227,'Change in Proportion Layers'!$A$8:$Y$324,6,FALSE)+VLOOKUP(A227,'Change in Proportion Layers'!$A$8:$Y$324,13,FALSE)</f>
        <v>-88682</v>
      </c>
      <c r="U227" s="64">
        <f>+O227+VLOOKUP(A227,'Change in Proportion Layers'!$A$8:$Y$324,7,FALSE)</f>
        <v>-51004</v>
      </c>
      <c r="W227" s="64">
        <f>('OPEB Amounts_Report'!H227-'OPEB Amounts_Report'!M227)</f>
        <v>-481343</v>
      </c>
      <c r="X227" s="129">
        <f>SUM(Q227:U227)-('OPEB Amounts_Report'!H227-'OPEB Amounts_Report'!M227)</f>
        <v>0</v>
      </c>
    </row>
    <row r="228" spans="1:24">
      <c r="A228" s="184">
        <v>32107</v>
      </c>
      <c r="B228" s="185" t="s">
        <v>216</v>
      </c>
      <c r="C228" s="63">
        <f t="shared" si="4"/>
        <v>-278068</v>
      </c>
      <c r="D228" s="63">
        <f t="shared" si="4"/>
        <v>-229795</v>
      </c>
      <c r="E228" s="63">
        <f t="shared" si="4"/>
        <v>-141419</v>
      </c>
      <c r="F228" s="63">
        <f t="shared" si="4"/>
        <v>-122756</v>
      </c>
      <c r="G228" s="63">
        <f t="shared" si="4"/>
        <v>-69905</v>
      </c>
      <c r="I228" s="186"/>
      <c r="K228" s="64">
        <f>ROUND(VLOOKUP($A228,'Contribution Allocation_Report'!$A$9:$D$311,4,FALSE)*$K$326,0)</f>
        <v>-139432</v>
      </c>
      <c r="L228" s="64">
        <f>ROUND(VLOOKUP($A228,'Contribution Allocation_Report'!$A$9:$D$311,4,FALSE)*$L$326,0)</f>
        <v>-101319</v>
      </c>
      <c r="M228" s="64">
        <f>ROUND(VLOOKUP($A228,'Contribution Allocation_Report'!$A$9:$D$311,4,FALSE)*$M$326,0)</f>
        <v>-61142</v>
      </c>
      <c r="N228" s="64">
        <f>ROUND(VLOOKUP($A228,'Contribution Allocation_Report'!$A$9:$D$311,4,FALSE)*$N$326,0)</f>
        <v>-92183</v>
      </c>
      <c r="O228" s="64">
        <f>ROUND(VLOOKUP($A228,'Contribution Allocation_Report'!$A$9:$D$311,4,FALSE)*$O$326,0)</f>
        <v>-52514</v>
      </c>
      <c r="Q228" s="64">
        <f>+K228+VLOOKUP(A228,'Change in Proportion Layers'!$A$8:$N$324,3,FALSE)+VLOOKUP(A228,'Change in Proportion Layers'!$A$8:$Y$324,10,FALSE)+VLOOKUP(A228,'Change in Proportion Layers'!$A$8:$Y$324,16,FALSE)+VLOOKUP(A228,'Change in Proportion Layers'!$A$8:$Y$324,21,FALSE)+VLOOKUP(A228,'Change in Proportion Layers'!$A$8:$Y$324,25,FALSE)</f>
        <v>-278068</v>
      </c>
      <c r="R228" s="64">
        <f>+L228+VLOOKUP(A228,'Change in Proportion Layers'!$A$8:$Y$324,4,FALSE)+VLOOKUP(A228,'Change in Proportion Layers'!$A$8:$Y$324,11,FALSE)+VLOOKUP(A228,'Change in Proportion Layers'!$A$8:$Y$324,17,FALSE)+VLOOKUP(A228,'Change in Proportion Layers'!$A$8:$Y$324,22,FALSE)</f>
        <v>-229795</v>
      </c>
      <c r="S228" s="64">
        <f>+M228+VLOOKUP(A228,'Change in Proportion Layers'!$A$8:$Y$324,5,FALSE)+VLOOKUP(A228,'Change in Proportion Layers'!$A$8:$Y$324,12,FALSE)+VLOOKUP(A228,'Change in Proportion Layers'!$A$8:$Y$324,18,FALSE)</f>
        <v>-141419</v>
      </c>
      <c r="T228" s="64">
        <f>+N228+VLOOKUP(A228,'Change in Proportion Layers'!$A$8:$Y$324,6,FALSE)+VLOOKUP(A228,'Change in Proportion Layers'!$A$8:$Y$324,13,FALSE)</f>
        <v>-122756</v>
      </c>
      <c r="U228" s="64">
        <f>+O228+VLOOKUP(A228,'Change in Proportion Layers'!$A$8:$Y$324,7,FALSE)+1</f>
        <v>-69905</v>
      </c>
      <c r="W228" s="64">
        <f>('OPEB Amounts_Report'!H228-'OPEB Amounts_Report'!M228)</f>
        <v>-841943</v>
      </c>
      <c r="X228" s="129">
        <f>SUM(Q228:U228)-('OPEB Amounts_Report'!H228-'OPEB Amounts_Report'!M228)</f>
        <v>0</v>
      </c>
    </row>
    <row r="229" spans="1:24">
      <c r="A229" s="187">
        <v>3260</v>
      </c>
      <c r="B229" s="188" t="s">
        <v>217</v>
      </c>
      <c r="C229" s="5">
        <f t="shared" si="4"/>
        <v>-3886726</v>
      </c>
      <c r="D229" s="5">
        <f t="shared" si="4"/>
        <v>-3272455</v>
      </c>
      <c r="E229" s="5">
        <f t="shared" si="4"/>
        <v>-1943237</v>
      </c>
      <c r="F229" s="5">
        <f t="shared" si="4"/>
        <v>-2237455</v>
      </c>
      <c r="G229" s="5">
        <f t="shared" si="4"/>
        <v>-1273949</v>
      </c>
      <c r="I229" s="186"/>
      <c r="K229" s="64">
        <f>ROUND(VLOOKUP($A229,'Contribution Allocation_Report'!$A$9:$D$311,4,FALSE)*$K$326,0)</f>
        <v>-2624243</v>
      </c>
      <c r="L229" s="64">
        <f>ROUND(VLOOKUP($A229,'Contribution Allocation_Report'!$A$9:$D$311,4,FALSE)*$L$326,0)</f>
        <v>-1906923</v>
      </c>
      <c r="M229" s="64">
        <f>ROUND(VLOOKUP($A229,'Contribution Allocation_Report'!$A$9:$D$311,4,FALSE)*$M$326,0)</f>
        <v>-1150762</v>
      </c>
      <c r="N229" s="64">
        <f>ROUND(VLOOKUP($A229,'Contribution Allocation_Report'!$A$9:$D$311,4,FALSE)*$N$326,0)</f>
        <v>-1734969</v>
      </c>
      <c r="O229" s="64">
        <f>ROUND(VLOOKUP($A229,'Contribution Allocation_Report'!$A$9:$D$311,4,FALSE)*$O$326,0)</f>
        <v>-988359</v>
      </c>
      <c r="Q229" s="64">
        <f>+K229+VLOOKUP(A229,'Change in Proportion Layers'!$A$8:$N$324,3,FALSE)+VLOOKUP(A229,'Change in Proportion Layers'!$A$8:$Y$324,10,FALSE)+VLOOKUP(A229,'Change in Proportion Layers'!$A$8:$Y$324,16,FALSE)+VLOOKUP(A229,'Change in Proportion Layers'!$A$8:$Y$324,21,FALSE)+VLOOKUP(A229,'Change in Proportion Layers'!$A$8:$Y$324,25,FALSE)</f>
        <v>-3886726</v>
      </c>
      <c r="R229" s="64">
        <f>+L229+VLOOKUP(A229,'Change in Proportion Layers'!$A$8:$Y$324,4,FALSE)+VLOOKUP(A229,'Change in Proportion Layers'!$A$8:$Y$324,11,FALSE)+VLOOKUP(A229,'Change in Proportion Layers'!$A$8:$Y$324,17,FALSE)+VLOOKUP(A229,'Change in Proportion Layers'!$A$8:$Y$324,22,FALSE)</f>
        <v>-3272455</v>
      </c>
      <c r="S229" s="64">
        <f>+M229+VLOOKUP(A229,'Change in Proportion Layers'!$A$8:$Y$324,5,FALSE)+VLOOKUP(A229,'Change in Proportion Layers'!$A$8:$Y$324,12,FALSE)+VLOOKUP(A229,'Change in Proportion Layers'!$A$8:$Y$324,18,FALSE)</f>
        <v>-1943237</v>
      </c>
      <c r="T229" s="64">
        <f>+N229+VLOOKUP(A229,'Change in Proportion Layers'!$A$8:$Y$324,6,FALSE)+VLOOKUP(A229,'Change in Proportion Layers'!$A$8:$Y$324,13,FALSE)</f>
        <v>-2237455</v>
      </c>
      <c r="U229" s="64">
        <f>+O229+VLOOKUP(A229,'Change in Proportion Layers'!$A$8:$Y$324,7,FALSE)</f>
        <v>-1273949</v>
      </c>
      <c r="W229" s="64">
        <f>('OPEB Amounts_Report'!H229-'OPEB Amounts_Report'!M229)</f>
        <v>-12613822</v>
      </c>
      <c r="X229" s="129">
        <f>SUM(Q229:U229)-('OPEB Amounts_Report'!H229-'OPEB Amounts_Report'!M229)</f>
        <v>0</v>
      </c>
    </row>
    <row r="230" spans="1:24">
      <c r="A230" s="184">
        <v>4390</v>
      </c>
      <c r="B230" s="185" t="s">
        <v>218</v>
      </c>
      <c r="C230" s="63">
        <f t="shared" si="4"/>
        <v>-23080</v>
      </c>
      <c r="D230" s="63">
        <f t="shared" si="4"/>
        <v>-17946</v>
      </c>
      <c r="E230" s="63">
        <f t="shared" si="4"/>
        <v>-8816</v>
      </c>
      <c r="F230" s="63">
        <f t="shared" si="4"/>
        <v>-16530</v>
      </c>
      <c r="G230" s="63">
        <f t="shared" si="4"/>
        <v>-12279</v>
      </c>
      <c r="I230" s="186"/>
      <c r="K230" s="64">
        <f>ROUND(VLOOKUP($A230,'Contribution Allocation_Report'!$A$9:$D$311,4,FALSE)*$K$326,0)</f>
        <v>-27497</v>
      </c>
      <c r="L230" s="64">
        <f>ROUND(VLOOKUP($A230,'Contribution Allocation_Report'!$A$9:$D$311,4,FALSE)*$L$326,0)</f>
        <v>-19981</v>
      </c>
      <c r="M230" s="64">
        <f>ROUND(VLOOKUP($A230,'Contribution Allocation_Report'!$A$9:$D$311,4,FALSE)*$M$326,0)</f>
        <v>-12058</v>
      </c>
      <c r="N230" s="64">
        <f>ROUND(VLOOKUP($A230,'Contribution Allocation_Report'!$A$9:$D$311,4,FALSE)*$N$326,0)</f>
        <v>-18179</v>
      </c>
      <c r="O230" s="64">
        <f>ROUND(VLOOKUP($A230,'Contribution Allocation_Report'!$A$9:$D$311,4,FALSE)*$O$326,0)</f>
        <v>-10356</v>
      </c>
      <c r="Q230" s="64">
        <f>+K230+VLOOKUP(A230,'Change in Proportion Layers'!$A$8:$N$324,3,FALSE)+VLOOKUP(A230,'Change in Proportion Layers'!$A$8:$Y$324,10,FALSE)+VLOOKUP(A230,'Change in Proportion Layers'!$A$8:$Y$324,16,FALSE)+VLOOKUP(A230,'Change in Proportion Layers'!$A$8:$Y$324,21,FALSE)+VLOOKUP(A230,'Change in Proportion Layers'!$A$8:$Y$324,25,FALSE)</f>
        <v>-23080</v>
      </c>
      <c r="R230" s="64">
        <f>+L230+VLOOKUP(A230,'Change in Proportion Layers'!$A$8:$Y$324,4,FALSE)+VLOOKUP(A230,'Change in Proportion Layers'!$A$8:$Y$324,11,FALSE)+VLOOKUP(A230,'Change in Proportion Layers'!$A$8:$Y$324,17,FALSE)+VLOOKUP(A230,'Change in Proportion Layers'!$A$8:$Y$324,22,FALSE)</f>
        <v>-17946</v>
      </c>
      <c r="S230" s="64">
        <f>+M230+VLOOKUP(A230,'Change in Proportion Layers'!$A$8:$Y$324,5,FALSE)+VLOOKUP(A230,'Change in Proportion Layers'!$A$8:$Y$324,12,FALSE)+VLOOKUP(A230,'Change in Proportion Layers'!$A$8:$Y$324,18,FALSE)</f>
        <v>-8816</v>
      </c>
      <c r="T230" s="64">
        <f>+N230+VLOOKUP(A230,'Change in Proportion Layers'!$A$8:$Y$324,6,FALSE)+VLOOKUP(A230,'Change in Proportion Layers'!$A$8:$Y$324,13,FALSE)</f>
        <v>-16530</v>
      </c>
      <c r="U230" s="64">
        <f>+O230+VLOOKUP(A230,'Change in Proportion Layers'!$A$8:$Y$324,7,FALSE)-1</f>
        <v>-12279</v>
      </c>
      <c r="W230" s="64">
        <f>('OPEB Amounts_Report'!H230-'OPEB Amounts_Report'!M230)</f>
        <v>-78651</v>
      </c>
      <c r="X230" s="129">
        <f>SUM(Q230:U230)-('OPEB Amounts_Report'!H230-'OPEB Amounts_Report'!M230)</f>
        <v>0</v>
      </c>
    </row>
    <row r="231" spans="1:24">
      <c r="A231" s="187">
        <v>3270</v>
      </c>
      <c r="B231" s="188" t="s">
        <v>219</v>
      </c>
      <c r="C231" s="5">
        <f t="shared" si="4"/>
        <v>-485348</v>
      </c>
      <c r="D231" s="5">
        <f t="shared" si="4"/>
        <v>-378083</v>
      </c>
      <c r="E231" s="5">
        <f t="shared" si="4"/>
        <v>-261253</v>
      </c>
      <c r="F231" s="5">
        <f t="shared" si="4"/>
        <v>-316740</v>
      </c>
      <c r="G231" s="5">
        <f t="shared" si="4"/>
        <v>-173242</v>
      </c>
      <c r="I231" s="186"/>
      <c r="K231" s="64">
        <f>ROUND(VLOOKUP($A231,'Contribution Allocation_Report'!$A$9:$D$311,4,FALSE)*$K$326,0)</f>
        <v>-383990</v>
      </c>
      <c r="L231" s="64">
        <f>ROUND(VLOOKUP($A231,'Contribution Allocation_Report'!$A$9:$D$311,4,FALSE)*$L$326,0)</f>
        <v>-279029</v>
      </c>
      <c r="M231" s="64">
        <f>ROUND(VLOOKUP($A231,'Contribution Allocation_Report'!$A$9:$D$311,4,FALSE)*$M$326,0)</f>
        <v>-168384</v>
      </c>
      <c r="N231" s="64">
        <f>ROUND(VLOOKUP($A231,'Contribution Allocation_Report'!$A$9:$D$311,4,FALSE)*$N$326,0)</f>
        <v>-253868</v>
      </c>
      <c r="O231" s="64">
        <f>ROUND(VLOOKUP($A231,'Contribution Allocation_Report'!$A$9:$D$311,4,FALSE)*$O$326,0)</f>
        <v>-144621</v>
      </c>
      <c r="Q231" s="64">
        <f>+K231+VLOOKUP(A231,'Change in Proportion Layers'!$A$8:$N$324,3,FALSE)+VLOOKUP(A231,'Change in Proportion Layers'!$A$8:$Y$324,10,FALSE)+VLOOKUP(A231,'Change in Proportion Layers'!$A$8:$Y$324,16,FALSE)+VLOOKUP(A231,'Change in Proportion Layers'!$A$8:$Y$324,21,FALSE)+VLOOKUP(A231,'Change in Proportion Layers'!$A$8:$Y$324,25,FALSE)</f>
        <v>-485348</v>
      </c>
      <c r="R231" s="64">
        <f>+L231+VLOOKUP(A231,'Change in Proportion Layers'!$A$8:$Y$324,4,FALSE)+VLOOKUP(A231,'Change in Proportion Layers'!$A$8:$Y$324,11,FALSE)+VLOOKUP(A231,'Change in Proportion Layers'!$A$8:$Y$324,17,FALSE)+VLOOKUP(A231,'Change in Proportion Layers'!$A$8:$Y$324,22,FALSE)</f>
        <v>-378083</v>
      </c>
      <c r="S231" s="64">
        <f>+M231+VLOOKUP(A231,'Change in Proportion Layers'!$A$8:$Y$324,5,FALSE)+VLOOKUP(A231,'Change in Proportion Layers'!$A$8:$Y$324,12,FALSE)+VLOOKUP(A231,'Change in Proportion Layers'!$A$8:$Y$324,18,FALSE)</f>
        <v>-261253</v>
      </c>
      <c r="T231" s="64">
        <f>+N231+VLOOKUP(A231,'Change in Proportion Layers'!$A$8:$Y$324,6,FALSE)+VLOOKUP(A231,'Change in Proportion Layers'!$A$8:$Y$324,13,FALSE)</f>
        <v>-316740</v>
      </c>
      <c r="U231" s="64">
        <f>+O231+VLOOKUP(A231,'Change in Proportion Layers'!$A$8:$Y$324,7,FALSE)</f>
        <v>-173242</v>
      </c>
      <c r="W231" s="64">
        <f>('OPEB Amounts_Report'!H231-'OPEB Amounts_Report'!M231)</f>
        <v>-1614666</v>
      </c>
      <c r="X231" s="129">
        <f>SUM(Q231:U231)-('OPEB Amounts_Report'!H231-'OPEB Amounts_Report'!M231)</f>
        <v>0</v>
      </c>
    </row>
    <row r="232" spans="1:24">
      <c r="A232" s="184">
        <v>29303</v>
      </c>
      <c r="B232" s="185" t="s">
        <v>220</v>
      </c>
      <c r="C232" s="63">
        <f t="shared" si="4"/>
        <v>8105</v>
      </c>
      <c r="D232" s="63">
        <f t="shared" si="4"/>
        <v>49886</v>
      </c>
      <c r="E232" s="63">
        <f t="shared" si="4"/>
        <v>67029</v>
      </c>
      <c r="F232" s="63">
        <f t="shared" si="4"/>
        <v>-18133</v>
      </c>
      <c r="G232" s="63">
        <f t="shared" si="4"/>
        <v>-9976</v>
      </c>
      <c r="I232" s="186"/>
      <c r="K232" s="64">
        <f>ROUND(VLOOKUP($A232,'Contribution Allocation_Report'!$A$9:$D$311,4,FALSE)*$K$326,0)</f>
        <v>-120486</v>
      </c>
      <c r="L232" s="64">
        <f>ROUND(VLOOKUP($A232,'Contribution Allocation_Report'!$A$9:$D$311,4,FALSE)*$L$326,0)</f>
        <v>-87552</v>
      </c>
      <c r="M232" s="64">
        <f>ROUND(VLOOKUP($A232,'Contribution Allocation_Report'!$A$9:$D$311,4,FALSE)*$M$326,0)</f>
        <v>-52834</v>
      </c>
      <c r="N232" s="64">
        <f>ROUND(VLOOKUP($A232,'Contribution Allocation_Report'!$A$9:$D$311,4,FALSE)*$N$326,0)</f>
        <v>-79657</v>
      </c>
      <c r="O232" s="64">
        <f>ROUND(VLOOKUP($A232,'Contribution Allocation_Report'!$A$9:$D$311,4,FALSE)*$O$326,0)</f>
        <v>-45378</v>
      </c>
      <c r="Q232" s="64">
        <f>+K232+VLOOKUP(A232,'Change in Proportion Layers'!$A$8:$N$324,3,FALSE)+VLOOKUP(A232,'Change in Proportion Layers'!$A$8:$Y$324,10,FALSE)+VLOOKUP(A232,'Change in Proportion Layers'!$A$8:$Y$324,16,FALSE)+VLOOKUP(A232,'Change in Proportion Layers'!$A$8:$Y$324,21,FALSE)+VLOOKUP(A232,'Change in Proportion Layers'!$A$8:$Y$324,25,FALSE)</f>
        <v>8105</v>
      </c>
      <c r="R232" s="64">
        <f>+L232+VLOOKUP(A232,'Change in Proportion Layers'!$A$8:$Y$324,4,FALSE)+VLOOKUP(A232,'Change in Proportion Layers'!$A$8:$Y$324,11,FALSE)+VLOOKUP(A232,'Change in Proportion Layers'!$A$8:$Y$324,17,FALSE)+VLOOKUP(A232,'Change in Proportion Layers'!$A$8:$Y$324,22,FALSE)</f>
        <v>49886</v>
      </c>
      <c r="S232" s="64">
        <f>+M232+VLOOKUP(A232,'Change in Proportion Layers'!$A$8:$Y$324,5,FALSE)+VLOOKUP(A232,'Change in Proportion Layers'!$A$8:$Y$324,12,FALSE)+VLOOKUP(A232,'Change in Proportion Layers'!$A$8:$Y$324,18,FALSE)</f>
        <v>67029</v>
      </c>
      <c r="T232" s="64">
        <f>+N232+VLOOKUP(A232,'Change in Proportion Layers'!$A$8:$Y$324,6,FALSE)+VLOOKUP(A232,'Change in Proportion Layers'!$A$8:$Y$324,13,FALSE)</f>
        <v>-18133</v>
      </c>
      <c r="U232" s="64">
        <f>+O232+VLOOKUP(A232,'Change in Proportion Layers'!$A$8:$Y$324,7,FALSE)+1</f>
        <v>-9976</v>
      </c>
      <c r="W232" s="64">
        <f>('OPEB Amounts_Report'!H232-'OPEB Amounts_Report'!M232)</f>
        <v>96911</v>
      </c>
      <c r="X232" s="129">
        <f>SUM(Q232:U232)-('OPEB Amounts_Report'!H232-'OPEB Amounts_Report'!M232)</f>
        <v>0</v>
      </c>
    </row>
    <row r="233" spans="1:24">
      <c r="A233" s="187">
        <v>3280</v>
      </c>
      <c r="B233" s="188" t="s">
        <v>221</v>
      </c>
      <c r="C233" s="5">
        <f t="shared" si="4"/>
        <v>-2350339</v>
      </c>
      <c r="D233" s="5">
        <f t="shared" si="4"/>
        <v>-2017095</v>
      </c>
      <c r="E233" s="5">
        <f t="shared" si="4"/>
        <v>-927522</v>
      </c>
      <c r="F233" s="5">
        <f t="shared" si="4"/>
        <v>-1185208</v>
      </c>
      <c r="G233" s="5">
        <f t="shared" si="4"/>
        <v>-798027</v>
      </c>
      <c r="I233" s="186"/>
      <c r="K233" s="64">
        <f>ROUND(VLOOKUP($A233,'Contribution Allocation_Report'!$A$9:$D$311,4,FALSE)*$K$326,0)</f>
        <v>-1940746</v>
      </c>
      <c r="L233" s="64">
        <f>ROUND(VLOOKUP($A233,'Contribution Allocation_Report'!$A$9:$D$311,4,FALSE)*$L$326,0)</f>
        <v>-1410255</v>
      </c>
      <c r="M233" s="64">
        <f>ROUND(VLOOKUP($A233,'Contribution Allocation_Report'!$A$9:$D$311,4,FALSE)*$M$326,0)</f>
        <v>-851040</v>
      </c>
      <c r="N233" s="64">
        <f>ROUND(VLOOKUP($A233,'Contribution Allocation_Report'!$A$9:$D$311,4,FALSE)*$N$326,0)</f>
        <v>-1283088</v>
      </c>
      <c r="O233" s="64">
        <f>ROUND(VLOOKUP($A233,'Contribution Allocation_Report'!$A$9:$D$311,4,FALSE)*$O$326,0)</f>
        <v>-730936</v>
      </c>
      <c r="Q233" s="64">
        <f>+K233+VLOOKUP(A233,'Change in Proportion Layers'!$A$8:$N$324,3,FALSE)+VLOOKUP(A233,'Change in Proportion Layers'!$A$8:$Y$324,10,FALSE)+VLOOKUP(A233,'Change in Proportion Layers'!$A$8:$Y$324,16,FALSE)+VLOOKUP(A233,'Change in Proportion Layers'!$A$8:$Y$324,21,FALSE)+VLOOKUP(A233,'Change in Proportion Layers'!$A$8:$Y$324,25,FALSE)</f>
        <v>-2350339</v>
      </c>
      <c r="R233" s="64">
        <f>+L233+VLOOKUP(A233,'Change in Proportion Layers'!$A$8:$Y$324,4,FALSE)+VLOOKUP(A233,'Change in Proportion Layers'!$A$8:$Y$324,11,FALSE)+VLOOKUP(A233,'Change in Proportion Layers'!$A$8:$Y$324,17,FALSE)+VLOOKUP(A233,'Change in Proportion Layers'!$A$8:$Y$324,22,FALSE)</f>
        <v>-2017095</v>
      </c>
      <c r="S233" s="64">
        <f>+M233+VLOOKUP(A233,'Change in Proportion Layers'!$A$8:$Y$324,5,FALSE)+VLOOKUP(A233,'Change in Proportion Layers'!$A$8:$Y$324,12,FALSE)+VLOOKUP(A233,'Change in Proportion Layers'!$A$8:$Y$324,18,FALSE)</f>
        <v>-927522</v>
      </c>
      <c r="T233" s="64">
        <f>+N233+VLOOKUP(A233,'Change in Proportion Layers'!$A$8:$Y$324,6,FALSE)+VLOOKUP(A233,'Change in Proportion Layers'!$A$8:$Y$324,13,FALSE)</f>
        <v>-1185208</v>
      </c>
      <c r="U233" s="64">
        <f>+O233+VLOOKUP(A233,'Change in Proportion Layers'!$A$8:$Y$324,7,FALSE)-1</f>
        <v>-798027</v>
      </c>
      <c r="W233" s="64">
        <f>('OPEB Amounts_Report'!H233-'OPEB Amounts_Report'!M233)</f>
        <v>-7278191</v>
      </c>
      <c r="X233" s="129">
        <f>SUM(Q233:U233)-('OPEB Amounts_Report'!H233-'OPEB Amounts_Report'!M233)</f>
        <v>0</v>
      </c>
    </row>
    <row r="234" spans="1:24">
      <c r="A234" s="184">
        <v>4260</v>
      </c>
      <c r="B234" s="185" t="s">
        <v>222</v>
      </c>
      <c r="C234" s="63">
        <f t="shared" ref="C234:G284" si="5">+Q234</f>
        <v>-131142</v>
      </c>
      <c r="D234" s="63">
        <f t="shared" si="5"/>
        <v>-101240</v>
      </c>
      <c r="E234" s="63">
        <f t="shared" si="5"/>
        <v>-61238</v>
      </c>
      <c r="F234" s="63">
        <f t="shared" si="5"/>
        <v>-91879</v>
      </c>
      <c r="G234" s="63">
        <f t="shared" si="5"/>
        <v>-34604</v>
      </c>
      <c r="I234" s="186"/>
      <c r="K234" s="64">
        <f>ROUND(VLOOKUP($A234,'Contribution Allocation_Report'!$A$9:$D$311,4,FALSE)*$K$326,0)</f>
        <v>-165337</v>
      </c>
      <c r="L234" s="64">
        <f>ROUND(VLOOKUP($A234,'Contribution Allocation_Report'!$A$9:$D$311,4,FALSE)*$L$326,0)</f>
        <v>-120143</v>
      </c>
      <c r="M234" s="64">
        <f>ROUND(VLOOKUP($A234,'Contribution Allocation_Report'!$A$9:$D$311,4,FALSE)*$M$326,0)</f>
        <v>-72502</v>
      </c>
      <c r="N234" s="64">
        <f>ROUND(VLOOKUP($A234,'Contribution Allocation_Report'!$A$9:$D$311,4,FALSE)*$N$326,0)</f>
        <v>-109310</v>
      </c>
      <c r="O234" s="64">
        <f>ROUND(VLOOKUP($A234,'Contribution Allocation_Report'!$A$9:$D$311,4,FALSE)*$O$326,0)</f>
        <v>-62270</v>
      </c>
      <c r="Q234" s="64">
        <f>+K234+VLOOKUP(A234,'Change in Proportion Layers'!$A$8:$N$324,3,FALSE)+VLOOKUP(A234,'Change in Proportion Layers'!$A$8:$Y$324,10,FALSE)+VLOOKUP(A234,'Change in Proportion Layers'!$A$8:$Y$324,16,FALSE)+VLOOKUP(A234,'Change in Proportion Layers'!$A$8:$Y$324,21,FALSE)+VLOOKUP(A234,'Change in Proportion Layers'!$A$8:$Y$324,25,FALSE)</f>
        <v>-131142</v>
      </c>
      <c r="R234" s="64">
        <f>+L234+VLOOKUP(A234,'Change in Proportion Layers'!$A$8:$Y$324,4,FALSE)+VLOOKUP(A234,'Change in Proportion Layers'!$A$8:$Y$324,11,FALSE)+VLOOKUP(A234,'Change in Proportion Layers'!$A$8:$Y$324,17,FALSE)+VLOOKUP(A234,'Change in Proportion Layers'!$A$8:$Y$324,22,FALSE)</f>
        <v>-101240</v>
      </c>
      <c r="S234" s="64">
        <f>+M234+VLOOKUP(A234,'Change in Proportion Layers'!$A$8:$Y$324,5,FALSE)+VLOOKUP(A234,'Change in Proportion Layers'!$A$8:$Y$324,12,FALSE)+VLOOKUP(A234,'Change in Proportion Layers'!$A$8:$Y$324,18,FALSE)</f>
        <v>-61238</v>
      </c>
      <c r="T234" s="64">
        <f>+N234+VLOOKUP(A234,'Change in Proportion Layers'!$A$8:$Y$324,6,FALSE)+VLOOKUP(A234,'Change in Proportion Layers'!$A$8:$Y$324,13,FALSE)</f>
        <v>-91879</v>
      </c>
      <c r="U234" s="64">
        <f>+O234+VLOOKUP(A234,'Change in Proportion Layers'!$A$8:$Y$324,7,FALSE)-1</f>
        <v>-34604</v>
      </c>
      <c r="W234" s="64">
        <f>('OPEB Amounts_Report'!H234-'OPEB Amounts_Report'!M234)</f>
        <v>-420103</v>
      </c>
      <c r="X234" s="129">
        <f>SUM(Q234:U234)-('OPEB Amounts_Report'!H234-'OPEB Amounts_Report'!M234)</f>
        <v>0</v>
      </c>
    </row>
    <row r="235" spans="1:24">
      <c r="A235" s="187">
        <v>1003</v>
      </c>
      <c r="B235" s="188" t="s">
        <v>223</v>
      </c>
      <c r="C235" s="5">
        <f t="shared" si="5"/>
        <v>-3002566</v>
      </c>
      <c r="D235" s="5">
        <f t="shared" si="5"/>
        <v>-2088016</v>
      </c>
      <c r="E235" s="5">
        <f t="shared" si="5"/>
        <v>-1434893</v>
      </c>
      <c r="F235" s="5">
        <f t="shared" si="5"/>
        <v>-1698099</v>
      </c>
      <c r="G235" s="5">
        <f t="shared" si="5"/>
        <v>-835289</v>
      </c>
      <c r="I235" s="186"/>
      <c r="K235" s="64">
        <f>ROUND(VLOOKUP($A235,'Contribution Allocation_Report'!$A$9:$D$311,4,FALSE)*$K$326,0)</f>
        <v>-1973597</v>
      </c>
      <c r="L235" s="64">
        <f>ROUND(VLOOKUP($A235,'Contribution Allocation_Report'!$A$9:$D$311,4,FALSE)*$L$326,0)</f>
        <v>-1434127</v>
      </c>
      <c r="M235" s="64">
        <f>ROUND(VLOOKUP($A235,'Contribution Allocation_Report'!$A$9:$D$311,4,FALSE)*$M$326,0)</f>
        <v>-865446</v>
      </c>
      <c r="N235" s="64">
        <f>ROUND(VLOOKUP($A235,'Contribution Allocation_Report'!$A$9:$D$311,4,FALSE)*$N$326,0)</f>
        <v>-1304807</v>
      </c>
      <c r="O235" s="64">
        <f>ROUND(VLOOKUP($A235,'Contribution Allocation_Report'!$A$9:$D$311,4,FALSE)*$O$326,0)</f>
        <v>-743308</v>
      </c>
      <c r="Q235" s="64">
        <f>+K235+VLOOKUP(A235,'Change in Proportion Layers'!$A$8:$N$324,3,FALSE)+VLOOKUP(A235,'Change in Proportion Layers'!$A$8:$Y$324,10,FALSE)+VLOOKUP(A235,'Change in Proportion Layers'!$A$8:$Y$324,16,FALSE)+VLOOKUP(A235,'Change in Proportion Layers'!$A$8:$Y$324,21,FALSE)+VLOOKUP(A235,'Change in Proportion Layers'!$A$8:$Y$324,25,FALSE)</f>
        <v>-3002566</v>
      </c>
      <c r="R235" s="64">
        <f>+L235+VLOOKUP(A235,'Change in Proportion Layers'!$A$8:$Y$324,4,FALSE)+VLOOKUP(A235,'Change in Proportion Layers'!$A$8:$Y$324,11,FALSE)+VLOOKUP(A235,'Change in Proportion Layers'!$A$8:$Y$324,17,FALSE)+VLOOKUP(A235,'Change in Proportion Layers'!$A$8:$Y$324,22,FALSE)</f>
        <v>-2088016</v>
      </c>
      <c r="S235" s="64">
        <f>+M235+VLOOKUP(A235,'Change in Proportion Layers'!$A$8:$Y$324,5,FALSE)+VLOOKUP(A235,'Change in Proportion Layers'!$A$8:$Y$324,12,FALSE)+VLOOKUP(A235,'Change in Proportion Layers'!$A$8:$Y$324,18,FALSE)</f>
        <v>-1434893</v>
      </c>
      <c r="T235" s="64">
        <f>+N235+VLOOKUP(A235,'Change in Proportion Layers'!$A$8:$Y$324,6,FALSE)+VLOOKUP(A235,'Change in Proportion Layers'!$A$8:$Y$324,13,FALSE)</f>
        <v>-1698099</v>
      </c>
      <c r="U235" s="64">
        <f>+O235+VLOOKUP(A235,'Change in Proportion Layers'!$A$8:$Y$324,7,FALSE)+1</f>
        <v>-835289</v>
      </c>
      <c r="W235" s="64">
        <f>('OPEB Amounts_Report'!H235-'OPEB Amounts_Report'!M235)</f>
        <v>-9058863</v>
      </c>
      <c r="X235" s="129">
        <f>SUM(Q235:U235)-('OPEB Amounts_Report'!H235-'OPEB Amounts_Report'!M235)</f>
        <v>0</v>
      </c>
    </row>
    <row r="236" spans="1:24">
      <c r="A236" s="184">
        <v>3290</v>
      </c>
      <c r="B236" s="185" t="s">
        <v>224</v>
      </c>
      <c r="C236" s="63">
        <f t="shared" si="5"/>
        <v>-5133387</v>
      </c>
      <c r="D236" s="63">
        <f t="shared" si="5"/>
        <v>-4330077</v>
      </c>
      <c r="E236" s="63">
        <f t="shared" si="5"/>
        <v>-3125910</v>
      </c>
      <c r="F236" s="63">
        <f t="shared" si="5"/>
        <v>-3354555</v>
      </c>
      <c r="G236" s="63">
        <f t="shared" si="5"/>
        <v>-1891195</v>
      </c>
      <c r="I236" s="186"/>
      <c r="K236" s="64">
        <f>ROUND(VLOOKUP($A236,'Contribution Allocation_Report'!$A$9:$D$311,4,FALSE)*$K$326,0)</f>
        <v>-4092718</v>
      </c>
      <c r="L236" s="64">
        <f>ROUND(VLOOKUP($A236,'Contribution Allocation_Report'!$A$9:$D$311,4,FALSE)*$L$326,0)</f>
        <v>-2973999</v>
      </c>
      <c r="M236" s="64">
        <f>ROUND(VLOOKUP($A236,'Contribution Allocation_Report'!$A$9:$D$311,4,FALSE)*$M$326,0)</f>
        <v>-1794705</v>
      </c>
      <c r="N236" s="64">
        <f>ROUND(VLOOKUP($A236,'Contribution Allocation_Report'!$A$9:$D$311,4,FALSE)*$N$326,0)</f>
        <v>-2705824</v>
      </c>
      <c r="O236" s="64">
        <f>ROUND(VLOOKUP($A236,'Contribution Allocation_Report'!$A$9:$D$311,4,FALSE)*$O$326,0)</f>
        <v>-1541425</v>
      </c>
      <c r="Q236" s="64">
        <f>+K236+VLOOKUP(A236,'Change in Proportion Layers'!$A$8:$N$324,3,FALSE)+VLOOKUP(A236,'Change in Proportion Layers'!$A$8:$Y$324,10,FALSE)+VLOOKUP(A236,'Change in Proportion Layers'!$A$8:$Y$324,16,FALSE)+VLOOKUP(A236,'Change in Proportion Layers'!$A$8:$Y$324,21,FALSE)+VLOOKUP(A236,'Change in Proportion Layers'!$A$8:$Y$324,25,FALSE)</f>
        <v>-5133387</v>
      </c>
      <c r="R236" s="64">
        <f>+L236+VLOOKUP(A236,'Change in Proportion Layers'!$A$8:$Y$324,4,FALSE)+VLOOKUP(A236,'Change in Proportion Layers'!$A$8:$Y$324,11,FALSE)+VLOOKUP(A236,'Change in Proportion Layers'!$A$8:$Y$324,17,FALSE)+VLOOKUP(A236,'Change in Proportion Layers'!$A$8:$Y$324,22,FALSE)</f>
        <v>-4330077</v>
      </c>
      <c r="S236" s="64">
        <f>+M236+VLOOKUP(A236,'Change in Proportion Layers'!$A$8:$Y$324,5,FALSE)+VLOOKUP(A236,'Change in Proportion Layers'!$A$8:$Y$324,12,FALSE)+VLOOKUP(A236,'Change in Proportion Layers'!$A$8:$Y$324,18,FALSE)</f>
        <v>-3125910</v>
      </c>
      <c r="T236" s="64">
        <f>+N236+VLOOKUP(A236,'Change in Proportion Layers'!$A$8:$Y$324,6,FALSE)+VLOOKUP(A236,'Change in Proportion Layers'!$A$8:$Y$324,13,FALSE)</f>
        <v>-3354555</v>
      </c>
      <c r="U236" s="64">
        <f>+O236+VLOOKUP(A236,'Change in Proportion Layers'!$A$8:$Y$324,7,FALSE)</f>
        <v>-1891195</v>
      </c>
      <c r="W236" s="64">
        <f>('OPEB Amounts_Report'!H236-'OPEB Amounts_Report'!M236)</f>
        <v>-17835124</v>
      </c>
      <c r="X236" s="129">
        <f>SUM(Q236:U236)-('OPEB Amounts_Report'!H236-'OPEB Amounts_Report'!M236)</f>
        <v>0</v>
      </c>
    </row>
    <row r="237" spans="1:24">
      <c r="A237" s="187">
        <v>1002</v>
      </c>
      <c r="B237" s="188" t="s">
        <v>225</v>
      </c>
      <c r="C237" s="5">
        <f t="shared" si="5"/>
        <v>-8086033</v>
      </c>
      <c r="D237" s="5">
        <f t="shared" si="5"/>
        <v>-5731775</v>
      </c>
      <c r="E237" s="5">
        <f t="shared" si="5"/>
        <v>-3567395</v>
      </c>
      <c r="F237" s="5">
        <f t="shared" si="5"/>
        <v>-5837406</v>
      </c>
      <c r="G237" s="5">
        <f t="shared" si="5"/>
        <v>-3185641</v>
      </c>
      <c r="I237" s="186"/>
      <c r="K237" s="64">
        <f>ROUND(VLOOKUP($A237,'Contribution Allocation_Report'!$A$9:$D$311,4,FALSE)*$K$326,0)</f>
        <v>-8001684</v>
      </c>
      <c r="L237" s="64">
        <f>ROUND(VLOOKUP($A237,'Contribution Allocation_Report'!$A$9:$D$311,4,FALSE)*$L$326,0)</f>
        <v>-5814474</v>
      </c>
      <c r="M237" s="64">
        <f>ROUND(VLOOKUP($A237,'Contribution Allocation_Report'!$A$9:$D$311,4,FALSE)*$M$326,0)</f>
        <v>-3508833</v>
      </c>
      <c r="N237" s="64">
        <f>ROUND(VLOOKUP($A237,'Contribution Allocation_Report'!$A$9:$D$311,4,FALSE)*$N$326,0)</f>
        <v>-5290164</v>
      </c>
      <c r="O237" s="64">
        <f>ROUND(VLOOKUP($A237,'Contribution Allocation_Report'!$A$9:$D$311,4,FALSE)*$O$326,0)</f>
        <v>-3013644</v>
      </c>
      <c r="Q237" s="64">
        <f>+K237+VLOOKUP(A237,'Change in Proportion Layers'!$A$8:$N$324,3,FALSE)+VLOOKUP(A237,'Change in Proportion Layers'!$A$8:$Y$324,10,FALSE)+VLOOKUP(A237,'Change in Proportion Layers'!$A$8:$Y$324,16,FALSE)+VLOOKUP(A237,'Change in Proportion Layers'!$A$8:$Y$324,21,FALSE)+VLOOKUP(A237,'Change in Proportion Layers'!$A$8:$Y$324,25,FALSE)</f>
        <v>-8086033</v>
      </c>
      <c r="R237" s="64">
        <f>+L237+VLOOKUP(A237,'Change in Proportion Layers'!$A$8:$Y$324,4,FALSE)+VLOOKUP(A237,'Change in Proportion Layers'!$A$8:$Y$324,11,FALSE)+VLOOKUP(A237,'Change in Proportion Layers'!$A$8:$Y$324,17,FALSE)+VLOOKUP(A237,'Change in Proportion Layers'!$A$8:$Y$324,22,FALSE)</f>
        <v>-5731775</v>
      </c>
      <c r="S237" s="64">
        <f>+M237+VLOOKUP(A237,'Change in Proportion Layers'!$A$8:$Y$324,5,FALSE)+VLOOKUP(A237,'Change in Proportion Layers'!$A$8:$Y$324,12,FALSE)+VLOOKUP(A237,'Change in Proportion Layers'!$A$8:$Y$324,18,FALSE)</f>
        <v>-3567395</v>
      </c>
      <c r="T237" s="64">
        <f>+N237+VLOOKUP(A237,'Change in Proportion Layers'!$A$8:$Y$324,6,FALSE)+VLOOKUP(A237,'Change in Proportion Layers'!$A$8:$Y$324,13,FALSE)</f>
        <v>-5837406</v>
      </c>
      <c r="U237" s="64">
        <f>+O237+VLOOKUP(A237,'Change in Proportion Layers'!$A$8:$Y$324,7,FALSE)-2</f>
        <v>-3185641</v>
      </c>
      <c r="W237" s="64">
        <f>('OPEB Amounts_Report'!H237-'OPEB Amounts_Report'!M237)</f>
        <v>-26408250</v>
      </c>
      <c r="X237" s="129">
        <f>SUM(Q237:U237)-('OPEB Amounts_Report'!H237-'OPEB Amounts_Report'!M237)</f>
        <v>0</v>
      </c>
    </row>
    <row r="238" spans="1:24">
      <c r="A238" s="184">
        <v>4270</v>
      </c>
      <c r="B238" s="185" t="s">
        <v>442</v>
      </c>
      <c r="C238" s="63">
        <f t="shared" si="5"/>
        <v>128270</v>
      </c>
      <c r="D238" s="63">
        <f t="shared" si="5"/>
        <v>175628</v>
      </c>
      <c r="E238" s="63">
        <f t="shared" si="5"/>
        <v>225551</v>
      </c>
      <c r="F238" s="63">
        <f t="shared" si="5"/>
        <v>180852</v>
      </c>
      <c r="G238" s="63">
        <f t="shared" si="5"/>
        <v>-69652</v>
      </c>
      <c r="I238" s="186"/>
      <c r="K238" s="64">
        <f>ROUND(VLOOKUP($A238,'Contribution Allocation_Report'!$A$9:$D$311,4,FALSE)*$K$326,0)</f>
        <v>-173255</v>
      </c>
      <c r="L238" s="64">
        <f>ROUND(VLOOKUP($A238,'Contribution Allocation_Report'!$A$9:$D$311,4,FALSE)*$L$326,0)</f>
        <v>-125897</v>
      </c>
      <c r="M238" s="64">
        <f>ROUND(VLOOKUP($A238,'Contribution Allocation_Report'!$A$9:$D$311,4,FALSE)*$M$326,0)</f>
        <v>-75974</v>
      </c>
      <c r="N238" s="64">
        <f>ROUND(VLOOKUP($A238,'Contribution Allocation_Report'!$A$9:$D$311,4,FALSE)*$N$326,0)</f>
        <v>-114544</v>
      </c>
      <c r="O238" s="64">
        <f>ROUND(VLOOKUP($A238,'Contribution Allocation_Report'!$A$9:$D$311,4,FALSE)*$O$326,0)</f>
        <v>-65252</v>
      </c>
      <c r="Q238" s="64">
        <f>+K238+VLOOKUP(A238,'Change in Proportion Layers'!$A$8:$N$324,3,FALSE)+VLOOKUP(A238,'Change in Proportion Layers'!$A$8:$Y$324,10,FALSE)+VLOOKUP(A238,'Change in Proportion Layers'!$A$8:$Y$324,16,FALSE)+VLOOKUP(A238,'Change in Proportion Layers'!$A$8:$Y$324,21,FALSE)+VLOOKUP(A238,'Change in Proportion Layers'!$A$8:$Y$324,25,FALSE)</f>
        <v>128270</v>
      </c>
      <c r="R238" s="64">
        <f>+L238+VLOOKUP(A238,'Change in Proportion Layers'!$A$8:$Y$324,4,FALSE)+VLOOKUP(A238,'Change in Proportion Layers'!$A$8:$Y$324,11,FALSE)+VLOOKUP(A238,'Change in Proportion Layers'!$A$8:$Y$324,17,FALSE)+VLOOKUP(A238,'Change in Proportion Layers'!$A$8:$Y$324,22,FALSE)</f>
        <v>175628</v>
      </c>
      <c r="S238" s="64">
        <f>+M238+VLOOKUP(A238,'Change in Proportion Layers'!$A$8:$Y$324,5,FALSE)+VLOOKUP(A238,'Change in Proportion Layers'!$A$8:$Y$324,12,FALSE)+VLOOKUP(A238,'Change in Proportion Layers'!$A$8:$Y$324,18,FALSE)</f>
        <v>225551</v>
      </c>
      <c r="T238" s="64">
        <f>+N238+VLOOKUP(A238,'Change in Proportion Layers'!$A$8:$Y$324,6,FALSE)+VLOOKUP(A238,'Change in Proportion Layers'!$A$8:$Y$324,13,FALSE)</f>
        <v>180852</v>
      </c>
      <c r="U238" s="64">
        <f>+O238+VLOOKUP(A238,'Change in Proportion Layers'!$A$8:$Y$324,7,FALSE)-2</f>
        <v>-69652</v>
      </c>
      <c r="W238" s="64">
        <f>('OPEB Amounts_Report'!H238-'OPEB Amounts_Report'!M238)</f>
        <v>640649</v>
      </c>
      <c r="X238" s="129">
        <f>SUM(Q238:U238)-('OPEB Amounts_Report'!H238-'OPEB Amounts_Report'!M238)</f>
        <v>0</v>
      </c>
    </row>
    <row r="239" spans="1:24">
      <c r="A239" s="187">
        <v>24072</v>
      </c>
      <c r="B239" s="188" t="s">
        <v>226</v>
      </c>
      <c r="C239" s="5">
        <f t="shared" si="5"/>
        <v>-460886</v>
      </c>
      <c r="D239" s="5">
        <f t="shared" si="5"/>
        <v>-241068</v>
      </c>
      <c r="E239" s="5">
        <f t="shared" si="5"/>
        <v>-84414</v>
      </c>
      <c r="F239" s="5">
        <f t="shared" si="5"/>
        <v>-239038</v>
      </c>
      <c r="G239" s="5">
        <f t="shared" si="5"/>
        <v>-173651</v>
      </c>
      <c r="I239" s="186"/>
      <c r="K239" s="64">
        <f>ROUND(VLOOKUP($A239,'Contribution Allocation_Report'!$A$9:$D$311,4,FALSE)*$K$326,0)</f>
        <v>-618213</v>
      </c>
      <c r="L239" s="64">
        <f>ROUND(VLOOKUP($A239,'Contribution Allocation_Report'!$A$9:$D$311,4,FALSE)*$L$326,0)</f>
        <v>-449228</v>
      </c>
      <c r="M239" s="64">
        <f>ROUND(VLOOKUP($A239,'Contribution Allocation_Report'!$A$9:$D$311,4,FALSE)*$M$326,0)</f>
        <v>-271094</v>
      </c>
      <c r="N239" s="64">
        <f>ROUND(VLOOKUP($A239,'Contribution Allocation_Report'!$A$9:$D$311,4,FALSE)*$N$326,0)</f>
        <v>-408720</v>
      </c>
      <c r="O239" s="64">
        <f>ROUND(VLOOKUP($A239,'Contribution Allocation_Report'!$A$9:$D$311,4,FALSE)*$O$326,0)</f>
        <v>-232835</v>
      </c>
      <c r="Q239" s="64">
        <f>+K239+VLOOKUP(A239,'Change in Proportion Layers'!$A$8:$N$324,3,FALSE)+VLOOKUP(A239,'Change in Proportion Layers'!$A$8:$Y$324,10,FALSE)+VLOOKUP(A239,'Change in Proportion Layers'!$A$8:$Y$324,16,FALSE)+VLOOKUP(A239,'Change in Proportion Layers'!$A$8:$Y$324,21,FALSE)+VLOOKUP(A239,'Change in Proportion Layers'!$A$8:$Y$324,25,FALSE)</f>
        <v>-460886</v>
      </c>
      <c r="R239" s="64">
        <f>+L239+VLOOKUP(A239,'Change in Proportion Layers'!$A$8:$Y$324,4,FALSE)+VLOOKUP(A239,'Change in Proportion Layers'!$A$8:$Y$324,11,FALSE)+VLOOKUP(A239,'Change in Proportion Layers'!$A$8:$Y$324,17,FALSE)+VLOOKUP(A239,'Change in Proportion Layers'!$A$8:$Y$324,22,FALSE)</f>
        <v>-241068</v>
      </c>
      <c r="S239" s="64">
        <f>+M239+VLOOKUP(A239,'Change in Proportion Layers'!$A$8:$Y$324,5,FALSE)+VLOOKUP(A239,'Change in Proportion Layers'!$A$8:$Y$324,12,FALSE)+VLOOKUP(A239,'Change in Proportion Layers'!$A$8:$Y$324,18,FALSE)</f>
        <v>-84414</v>
      </c>
      <c r="T239" s="64">
        <f>+N239+VLOOKUP(A239,'Change in Proportion Layers'!$A$8:$Y$324,6,FALSE)+VLOOKUP(A239,'Change in Proportion Layers'!$A$8:$Y$324,13,FALSE)</f>
        <v>-239038</v>
      </c>
      <c r="U239" s="64">
        <f>+O239+VLOOKUP(A239,'Change in Proportion Layers'!$A$8:$Y$324,7,FALSE)-1</f>
        <v>-173651</v>
      </c>
      <c r="W239" s="64">
        <f>('OPEB Amounts_Report'!H239-'OPEB Amounts_Report'!M239)</f>
        <v>-1199057</v>
      </c>
      <c r="X239" s="129">
        <f>SUM(Q239:U239)-('OPEB Amounts_Report'!H239-'OPEB Amounts_Report'!M239)</f>
        <v>0</v>
      </c>
    </row>
    <row r="240" spans="1:24">
      <c r="A240" s="184">
        <v>14366</v>
      </c>
      <c r="B240" s="185" t="s">
        <v>227</v>
      </c>
      <c r="C240" s="63">
        <f t="shared" si="5"/>
        <v>-203374</v>
      </c>
      <c r="D240" s="63">
        <f t="shared" si="5"/>
        <v>-113442</v>
      </c>
      <c r="E240" s="63">
        <f t="shared" si="5"/>
        <v>-19773</v>
      </c>
      <c r="F240" s="63">
        <f t="shared" si="5"/>
        <v>-112853</v>
      </c>
      <c r="G240" s="63">
        <f t="shared" si="5"/>
        <v>-31831</v>
      </c>
      <c r="I240" s="186"/>
      <c r="K240" s="64">
        <f>ROUND(VLOOKUP($A240,'Contribution Allocation_Report'!$A$9:$D$311,4,FALSE)*$K$326,0)</f>
        <v>-326950</v>
      </c>
      <c r="L240" s="64">
        <f>ROUND(VLOOKUP($A240,'Contribution Allocation_Report'!$A$9:$D$311,4,FALSE)*$L$326,0)</f>
        <v>-237580</v>
      </c>
      <c r="M240" s="64">
        <f>ROUND(VLOOKUP($A240,'Contribution Allocation_Report'!$A$9:$D$311,4,FALSE)*$M$326,0)</f>
        <v>-143371</v>
      </c>
      <c r="N240" s="64">
        <f>ROUND(VLOOKUP($A240,'Contribution Allocation_Report'!$A$9:$D$311,4,FALSE)*$N$326,0)</f>
        <v>-216157</v>
      </c>
      <c r="O240" s="64">
        <f>ROUND(VLOOKUP($A240,'Contribution Allocation_Report'!$A$9:$D$311,4,FALSE)*$O$326,0)</f>
        <v>-123138</v>
      </c>
      <c r="Q240" s="64">
        <f>+K240+VLOOKUP(A240,'Change in Proportion Layers'!$A$8:$N$324,3,FALSE)+VLOOKUP(A240,'Change in Proportion Layers'!$A$8:$Y$324,10,FALSE)+VLOOKUP(A240,'Change in Proportion Layers'!$A$8:$Y$324,16,FALSE)+VLOOKUP(A240,'Change in Proportion Layers'!$A$8:$Y$324,21,FALSE)+VLOOKUP(A240,'Change in Proportion Layers'!$A$8:$Y$324,25,FALSE)</f>
        <v>-203374</v>
      </c>
      <c r="R240" s="64">
        <f>+L240+VLOOKUP(A240,'Change in Proportion Layers'!$A$8:$Y$324,4,FALSE)+VLOOKUP(A240,'Change in Proportion Layers'!$A$8:$Y$324,11,FALSE)+VLOOKUP(A240,'Change in Proportion Layers'!$A$8:$Y$324,17,FALSE)+VLOOKUP(A240,'Change in Proportion Layers'!$A$8:$Y$324,22,FALSE)</f>
        <v>-113442</v>
      </c>
      <c r="S240" s="64">
        <f>+M240+VLOOKUP(A240,'Change in Proportion Layers'!$A$8:$Y$324,5,FALSE)+VLOOKUP(A240,'Change in Proportion Layers'!$A$8:$Y$324,12,FALSE)+VLOOKUP(A240,'Change in Proportion Layers'!$A$8:$Y$324,18,FALSE)</f>
        <v>-19773</v>
      </c>
      <c r="T240" s="64">
        <f>+N240+VLOOKUP(A240,'Change in Proportion Layers'!$A$8:$Y$324,6,FALSE)+VLOOKUP(A240,'Change in Proportion Layers'!$A$8:$Y$324,13,FALSE)</f>
        <v>-112853</v>
      </c>
      <c r="U240" s="64">
        <f>+O240+VLOOKUP(A240,'Change in Proportion Layers'!$A$8:$Y$324,7,FALSE)+1</f>
        <v>-31831</v>
      </c>
      <c r="W240" s="64">
        <f>('OPEB Amounts_Report'!H240-'OPEB Amounts_Report'!M240)</f>
        <v>-481273</v>
      </c>
      <c r="X240" s="129">
        <f>SUM(Q240:U240)-('OPEB Amounts_Report'!H240-'OPEB Amounts_Report'!M240)</f>
        <v>0</v>
      </c>
    </row>
    <row r="241" spans="1:24">
      <c r="A241" s="187">
        <v>4317</v>
      </c>
      <c r="B241" s="188" t="s">
        <v>228</v>
      </c>
      <c r="C241" s="5">
        <f t="shared" si="5"/>
        <v>4808</v>
      </c>
      <c r="D241" s="5">
        <f t="shared" si="5"/>
        <v>42084</v>
      </c>
      <c r="E241" s="5">
        <f t="shared" si="5"/>
        <v>73231</v>
      </c>
      <c r="F241" s="5">
        <f t="shared" si="5"/>
        <v>45783</v>
      </c>
      <c r="G241" s="5">
        <f t="shared" si="5"/>
        <v>-28103</v>
      </c>
      <c r="I241" s="186"/>
      <c r="K241" s="64">
        <f>ROUND(VLOOKUP($A241,'Contribution Allocation_Report'!$A$9:$D$311,4,FALSE)*$K$326,0)</f>
        <v>-108186</v>
      </c>
      <c r="L241" s="64">
        <f>ROUND(VLOOKUP($A241,'Contribution Allocation_Report'!$A$9:$D$311,4,FALSE)*$L$326,0)</f>
        <v>-78614</v>
      </c>
      <c r="M241" s="64">
        <f>ROUND(VLOOKUP($A241,'Contribution Allocation_Report'!$A$9:$D$311,4,FALSE)*$M$326,0)</f>
        <v>-47441</v>
      </c>
      <c r="N241" s="64">
        <f>ROUND(VLOOKUP($A241,'Contribution Allocation_Report'!$A$9:$D$311,4,FALSE)*$N$326,0)</f>
        <v>-71525</v>
      </c>
      <c r="O241" s="64">
        <f>ROUND(VLOOKUP($A241,'Contribution Allocation_Report'!$A$9:$D$311,4,FALSE)*$O$326,0)</f>
        <v>-40746</v>
      </c>
      <c r="Q241" s="64">
        <f>+K241+VLOOKUP(A241,'Change in Proportion Layers'!$A$8:$N$324,3,FALSE)+VLOOKUP(A241,'Change in Proportion Layers'!$A$8:$Y$324,10,FALSE)+VLOOKUP(A241,'Change in Proportion Layers'!$A$8:$Y$324,16,FALSE)+VLOOKUP(A241,'Change in Proportion Layers'!$A$8:$Y$324,21,FALSE)+VLOOKUP(A241,'Change in Proportion Layers'!$A$8:$Y$324,25,FALSE)</f>
        <v>4808</v>
      </c>
      <c r="R241" s="64">
        <f>+L241+VLOOKUP(A241,'Change in Proportion Layers'!$A$8:$Y$324,4,FALSE)+VLOOKUP(A241,'Change in Proportion Layers'!$A$8:$Y$324,11,FALSE)+VLOOKUP(A241,'Change in Proportion Layers'!$A$8:$Y$324,17,FALSE)+VLOOKUP(A241,'Change in Proportion Layers'!$A$8:$Y$324,22,FALSE)</f>
        <v>42084</v>
      </c>
      <c r="S241" s="64">
        <f>+M241+VLOOKUP(A241,'Change in Proportion Layers'!$A$8:$Y$324,5,FALSE)+VLOOKUP(A241,'Change in Proportion Layers'!$A$8:$Y$324,12,FALSE)+VLOOKUP(A241,'Change in Proportion Layers'!$A$8:$Y$324,18,FALSE)</f>
        <v>73231</v>
      </c>
      <c r="T241" s="64">
        <f>+N241+VLOOKUP(A241,'Change in Proportion Layers'!$A$8:$Y$324,6,FALSE)+VLOOKUP(A241,'Change in Proportion Layers'!$A$8:$Y$324,13,FALSE)</f>
        <v>45783</v>
      </c>
      <c r="U241" s="64">
        <f>+O241+VLOOKUP(A241,'Change in Proportion Layers'!$A$8:$Y$324,7,FALSE)</f>
        <v>-28103</v>
      </c>
      <c r="W241" s="64">
        <f>('OPEB Amounts_Report'!H241-'OPEB Amounts_Report'!M241)</f>
        <v>137803</v>
      </c>
      <c r="X241" s="129">
        <f>SUM(Q241:U241)-('OPEB Amounts_Report'!H241-'OPEB Amounts_Report'!M241)</f>
        <v>0</v>
      </c>
    </row>
    <row r="242" spans="1:24">
      <c r="A242" s="184">
        <v>32120</v>
      </c>
      <c r="B242" s="185" t="s">
        <v>229</v>
      </c>
      <c r="C242" s="63">
        <f t="shared" si="5"/>
        <v>33234</v>
      </c>
      <c r="D242" s="63">
        <f t="shared" si="5"/>
        <v>35219</v>
      </c>
      <c r="E242" s="63">
        <f t="shared" si="5"/>
        <v>36048</v>
      </c>
      <c r="F242" s="63">
        <f t="shared" si="5"/>
        <v>-39153</v>
      </c>
      <c r="G242" s="63">
        <f t="shared" si="5"/>
        <v>-25406</v>
      </c>
      <c r="I242" s="186"/>
      <c r="K242" s="64">
        <f>ROUND(VLOOKUP($A242,'Contribution Allocation_Report'!$A$9:$D$311,4,FALSE)*$K$326,0)</f>
        <v>-133633</v>
      </c>
      <c r="L242" s="64">
        <f>ROUND(VLOOKUP($A242,'Contribution Allocation_Report'!$A$9:$D$311,4,FALSE)*$L$326,0)</f>
        <v>-97105</v>
      </c>
      <c r="M242" s="64">
        <f>ROUND(VLOOKUP($A242,'Contribution Allocation_Report'!$A$9:$D$311,4,FALSE)*$M$326,0)</f>
        <v>-58600</v>
      </c>
      <c r="N242" s="64">
        <f>ROUND(VLOOKUP($A242,'Contribution Allocation_Report'!$A$9:$D$311,4,FALSE)*$N$326,0)</f>
        <v>-88349</v>
      </c>
      <c r="O242" s="64">
        <f>ROUND(VLOOKUP($A242,'Contribution Allocation_Report'!$A$9:$D$311,4,FALSE)*$O$326,0)</f>
        <v>-50330</v>
      </c>
      <c r="Q242" s="64">
        <f>+K242+VLOOKUP(A242,'Change in Proportion Layers'!$A$8:$N$324,3,FALSE)+VLOOKUP(A242,'Change in Proportion Layers'!$A$8:$Y$324,10,FALSE)+VLOOKUP(A242,'Change in Proportion Layers'!$A$8:$Y$324,16,FALSE)+VLOOKUP(A242,'Change in Proportion Layers'!$A$8:$Y$324,21,FALSE)+VLOOKUP(A242,'Change in Proportion Layers'!$A$8:$Y$324,25,FALSE)</f>
        <v>33234</v>
      </c>
      <c r="R242" s="64">
        <f>+L242+VLOOKUP(A242,'Change in Proportion Layers'!$A$8:$Y$324,4,FALSE)+VLOOKUP(A242,'Change in Proportion Layers'!$A$8:$Y$324,11,FALSE)+VLOOKUP(A242,'Change in Proportion Layers'!$A$8:$Y$324,17,FALSE)+VLOOKUP(A242,'Change in Proportion Layers'!$A$8:$Y$324,22,FALSE)</f>
        <v>35219</v>
      </c>
      <c r="S242" s="64">
        <f>+M242+VLOOKUP(A242,'Change in Proportion Layers'!$A$8:$Y$324,5,FALSE)+VLOOKUP(A242,'Change in Proportion Layers'!$A$8:$Y$324,12,FALSE)+VLOOKUP(A242,'Change in Proportion Layers'!$A$8:$Y$324,18,FALSE)</f>
        <v>36048</v>
      </c>
      <c r="T242" s="64">
        <f>+N242+VLOOKUP(A242,'Change in Proportion Layers'!$A$8:$Y$324,6,FALSE)+VLOOKUP(A242,'Change in Proportion Layers'!$A$8:$Y$324,13,FALSE)</f>
        <v>-39153</v>
      </c>
      <c r="U242" s="64">
        <f>+O242+VLOOKUP(A242,'Change in Proportion Layers'!$A$8:$Y$324,7,FALSE)-1</f>
        <v>-25406</v>
      </c>
      <c r="W242" s="64">
        <f>('OPEB Amounts_Report'!H242-'OPEB Amounts_Report'!M242)</f>
        <v>39942</v>
      </c>
      <c r="X242" s="129">
        <f>SUM(Q242:U242)-('OPEB Amounts_Report'!H242-'OPEB Amounts_Report'!M242)</f>
        <v>0</v>
      </c>
    </row>
    <row r="243" spans="1:24">
      <c r="A243" s="187">
        <v>3300</v>
      </c>
      <c r="B243" s="188" t="s">
        <v>230</v>
      </c>
      <c r="C243" s="5">
        <f t="shared" si="5"/>
        <v>125502</v>
      </c>
      <c r="D243" s="5">
        <f t="shared" si="5"/>
        <v>-239237</v>
      </c>
      <c r="E243" s="5">
        <f t="shared" si="5"/>
        <v>-166887</v>
      </c>
      <c r="F243" s="5">
        <f t="shared" si="5"/>
        <v>-209386</v>
      </c>
      <c r="G243" s="5">
        <f t="shared" si="5"/>
        <v>-96288</v>
      </c>
      <c r="I243" s="186"/>
      <c r="K243" s="64">
        <f>ROUND(VLOOKUP($A243,'Contribution Allocation_Report'!$A$9:$D$311,4,FALSE)*$K$326,0)</f>
        <v>-289874</v>
      </c>
      <c r="L243" s="64">
        <f>ROUND(VLOOKUP($A243,'Contribution Allocation_Report'!$A$9:$D$311,4,FALSE)*$L$326,0)</f>
        <v>-210638</v>
      </c>
      <c r="M243" s="64">
        <f>ROUND(VLOOKUP($A243,'Contribution Allocation_Report'!$A$9:$D$311,4,FALSE)*$M$326,0)</f>
        <v>-127113</v>
      </c>
      <c r="N243" s="64">
        <f>ROUND(VLOOKUP($A243,'Contribution Allocation_Report'!$A$9:$D$311,4,FALSE)*$N$326,0)</f>
        <v>-191644</v>
      </c>
      <c r="O243" s="64">
        <f>ROUND(VLOOKUP($A243,'Contribution Allocation_Report'!$A$9:$D$311,4,FALSE)*$O$326,0)</f>
        <v>-109174</v>
      </c>
      <c r="Q243" s="64">
        <f>+K243+VLOOKUP(A243,'Change in Proportion Layers'!$A$8:$N$324,3,FALSE)+VLOOKUP(A243,'Change in Proportion Layers'!$A$8:$Y$324,10,FALSE)+VLOOKUP(A243,'Change in Proportion Layers'!$A$8:$Y$324,16,FALSE)+VLOOKUP(A243,'Change in Proportion Layers'!$A$8:$Y$324,21,FALSE)+VLOOKUP(A243,'Change in Proportion Layers'!$A$8:$Y$324,25,FALSE)</f>
        <v>125502</v>
      </c>
      <c r="R243" s="64">
        <f>+L243+VLOOKUP(A243,'Change in Proportion Layers'!$A$8:$Y$324,4,FALSE)+VLOOKUP(A243,'Change in Proportion Layers'!$A$8:$Y$324,11,FALSE)+VLOOKUP(A243,'Change in Proportion Layers'!$A$8:$Y$324,17,FALSE)+VLOOKUP(A243,'Change in Proportion Layers'!$A$8:$Y$324,22,FALSE)</f>
        <v>-239237</v>
      </c>
      <c r="S243" s="64">
        <f>+M243+VLOOKUP(A243,'Change in Proportion Layers'!$A$8:$Y$324,5,FALSE)+VLOOKUP(A243,'Change in Proportion Layers'!$A$8:$Y$324,12,FALSE)+VLOOKUP(A243,'Change in Proportion Layers'!$A$8:$Y$324,18,FALSE)</f>
        <v>-166887</v>
      </c>
      <c r="T243" s="64">
        <f>+N243+VLOOKUP(A243,'Change in Proportion Layers'!$A$8:$Y$324,6,FALSE)+VLOOKUP(A243,'Change in Proportion Layers'!$A$8:$Y$324,13,FALSE)</f>
        <v>-209386</v>
      </c>
      <c r="U243" s="64">
        <f>+O243+VLOOKUP(A243,'Change in Proportion Layers'!$A$8:$Y$324,7,FALSE)</f>
        <v>-96288</v>
      </c>
      <c r="W243" s="64">
        <f>('OPEB Amounts_Report'!H243-'OPEB Amounts_Report'!M243)</f>
        <v>-586296</v>
      </c>
      <c r="X243" s="129">
        <f>SUM(Q243:U243)-('OPEB Amounts_Report'!H243-'OPEB Amounts_Report'!M243)</f>
        <v>0</v>
      </c>
    </row>
    <row r="244" spans="1:24">
      <c r="A244" s="184">
        <v>8026</v>
      </c>
      <c r="B244" s="185" t="s">
        <v>231</v>
      </c>
      <c r="C244" s="63">
        <f t="shared" si="5"/>
        <v>-1876480</v>
      </c>
      <c r="D244" s="63">
        <f t="shared" si="5"/>
        <v>-1402716</v>
      </c>
      <c r="E244" s="63">
        <f t="shared" si="5"/>
        <v>-931271</v>
      </c>
      <c r="F244" s="63">
        <f t="shared" si="5"/>
        <v>-1161621</v>
      </c>
      <c r="G244" s="63">
        <f t="shared" si="5"/>
        <v>-589845</v>
      </c>
      <c r="I244" s="186"/>
      <c r="K244" s="64">
        <f>ROUND(VLOOKUP($A244,'Contribution Allocation_Report'!$A$9:$D$311,4,FALSE)*$K$326,0)</f>
        <v>-1587519</v>
      </c>
      <c r="L244" s="64">
        <f>ROUND(VLOOKUP($A244,'Contribution Allocation_Report'!$A$9:$D$311,4,FALSE)*$L$326,0)</f>
        <v>-1153581</v>
      </c>
      <c r="M244" s="64">
        <f>ROUND(VLOOKUP($A244,'Contribution Allocation_Report'!$A$9:$D$311,4,FALSE)*$M$326,0)</f>
        <v>-696146</v>
      </c>
      <c r="N244" s="64">
        <f>ROUND(VLOOKUP($A244,'Contribution Allocation_Report'!$A$9:$D$311,4,FALSE)*$N$326,0)</f>
        <v>-1049559</v>
      </c>
      <c r="O244" s="64">
        <f>ROUND(VLOOKUP($A244,'Contribution Allocation_Report'!$A$9:$D$311,4,FALSE)*$O$326,0)</f>
        <v>-597901</v>
      </c>
      <c r="Q244" s="64">
        <f>+K244+VLOOKUP(A244,'Change in Proportion Layers'!$A$8:$N$324,3,FALSE)+VLOOKUP(A244,'Change in Proportion Layers'!$A$8:$Y$324,10,FALSE)+VLOOKUP(A244,'Change in Proportion Layers'!$A$8:$Y$324,16,FALSE)+VLOOKUP(A244,'Change in Proportion Layers'!$A$8:$Y$324,21,FALSE)+VLOOKUP(A244,'Change in Proportion Layers'!$A$8:$Y$324,25,FALSE)</f>
        <v>-1876480</v>
      </c>
      <c r="R244" s="64">
        <f>+L244+VLOOKUP(A244,'Change in Proportion Layers'!$A$8:$Y$324,4,FALSE)+VLOOKUP(A244,'Change in Proportion Layers'!$A$8:$Y$324,11,FALSE)+VLOOKUP(A244,'Change in Proportion Layers'!$A$8:$Y$324,17,FALSE)+VLOOKUP(A244,'Change in Proportion Layers'!$A$8:$Y$324,22,FALSE)</f>
        <v>-1402716</v>
      </c>
      <c r="S244" s="64">
        <f>+M244+VLOOKUP(A244,'Change in Proportion Layers'!$A$8:$Y$324,5,FALSE)+VLOOKUP(A244,'Change in Proportion Layers'!$A$8:$Y$324,12,FALSE)+VLOOKUP(A244,'Change in Proportion Layers'!$A$8:$Y$324,18,FALSE)</f>
        <v>-931271</v>
      </c>
      <c r="T244" s="64">
        <f>+N244+VLOOKUP(A244,'Change in Proportion Layers'!$A$8:$Y$324,6,FALSE)+VLOOKUP(A244,'Change in Proportion Layers'!$A$8:$Y$324,13,FALSE)</f>
        <v>-1161621</v>
      </c>
      <c r="U244" s="64">
        <f>+O244+VLOOKUP(A244,'Change in Proportion Layers'!$A$8:$Y$324,7,FALSE)-2</f>
        <v>-589845</v>
      </c>
      <c r="W244" s="64">
        <f>('OPEB Amounts_Report'!H244-'OPEB Amounts_Report'!M244)</f>
        <v>-5961933</v>
      </c>
      <c r="X244" s="129">
        <f>SUM(Q244:U244)-('OPEB Amounts_Report'!H244-'OPEB Amounts_Report'!M244)</f>
        <v>0</v>
      </c>
    </row>
    <row r="245" spans="1:24">
      <c r="A245" s="187">
        <v>32119</v>
      </c>
      <c r="B245" s="188" t="s">
        <v>232</v>
      </c>
      <c r="C245" s="5">
        <f t="shared" si="5"/>
        <v>-995</v>
      </c>
      <c r="D245" s="5">
        <f t="shared" si="5"/>
        <v>-18609</v>
      </c>
      <c r="E245" s="5">
        <f t="shared" si="5"/>
        <v>-27639</v>
      </c>
      <c r="F245" s="5">
        <f t="shared" si="5"/>
        <v>-22362</v>
      </c>
      <c r="G245" s="5">
        <f t="shared" si="5"/>
        <v>-15698</v>
      </c>
      <c r="I245" s="186"/>
      <c r="K245" s="64">
        <f>ROUND(VLOOKUP($A245,'Contribution Allocation_Report'!$A$9:$D$311,4,FALSE)*$K$326,0)</f>
        <v>-57876</v>
      </c>
      <c r="L245" s="64">
        <f>ROUND(VLOOKUP($A245,'Contribution Allocation_Report'!$A$9:$D$311,4,FALSE)*$L$326,0)</f>
        <v>-42056</v>
      </c>
      <c r="M245" s="64">
        <f>ROUND(VLOOKUP($A245,'Contribution Allocation_Report'!$A$9:$D$311,4,FALSE)*$M$326,0)</f>
        <v>-25379</v>
      </c>
      <c r="N245" s="64">
        <f>ROUND(VLOOKUP($A245,'Contribution Allocation_Report'!$A$9:$D$311,4,FALSE)*$N$326,0)</f>
        <v>-38263</v>
      </c>
      <c r="O245" s="64">
        <f>ROUND(VLOOKUP($A245,'Contribution Allocation_Report'!$A$9:$D$311,4,FALSE)*$O$326,0)</f>
        <v>-21797</v>
      </c>
      <c r="Q245" s="64">
        <f>+K245+VLOOKUP(A245,'Change in Proportion Layers'!$A$8:$N$324,3,FALSE)+VLOOKUP(A245,'Change in Proportion Layers'!$A$8:$Y$324,10,FALSE)+VLOOKUP(A245,'Change in Proportion Layers'!$A$8:$Y$324,16,FALSE)+VLOOKUP(A245,'Change in Proportion Layers'!$A$8:$Y$324,21,FALSE)+VLOOKUP(A245,'Change in Proportion Layers'!$A$8:$Y$324,25,FALSE)</f>
        <v>-995</v>
      </c>
      <c r="R245" s="64">
        <f>+L245+VLOOKUP(A245,'Change in Proportion Layers'!$A$8:$Y$324,4,FALSE)+VLOOKUP(A245,'Change in Proportion Layers'!$A$8:$Y$324,11,FALSE)+VLOOKUP(A245,'Change in Proportion Layers'!$A$8:$Y$324,17,FALSE)+VLOOKUP(A245,'Change in Proportion Layers'!$A$8:$Y$324,22,FALSE)</f>
        <v>-18609</v>
      </c>
      <c r="S245" s="64">
        <f>+M245+VLOOKUP(A245,'Change in Proportion Layers'!$A$8:$Y$324,5,FALSE)+VLOOKUP(A245,'Change in Proportion Layers'!$A$8:$Y$324,12,FALSE)+VLOOKUP(A245,'Change in Proportion Layers'!$A$8:$Y$324,18,FALSE)</f>
        <v>-27639</v>
      </c>
      <c r="T245" s="64">
        <f>+N245+VLOOKUP(A245,'Change in Proportion Layers'!$A$8:$Y$324,6,FALSE)+VLOOKUP(A245,'Change in Proportion Layers'!$A$8:$Y$324,13,FALSE)</f>
        <v>-22362</v>
      </c>
      <c r="U245" s="64">
        <f>+O245+VLOOKUP(A245,'Change in Proportion Layers'!$A$8:$Y$324,7,FALSE)</f>
        <v>-15698</v>
      </c>
      <c r="W245" s="64">
        <f>('OPEB Amounts_Report'!H245-'OPEB Amounts_Report'!M245)</f>
        <v>-85303</v>
      </c>
      <c r="X245" s="129">
        <f>SUM(Q245:U245)-('OPEB Amounts_Report'!H245-'OPEB Amounts_Report'!M245)</f>
        <v>0</v>
      </c>
    </row>
    <row r="246" spans="1:24">
      <c r="A246" s="184">
        <v>25076</v>
      </c>
      <c r="B246" s="185" t="s">
        <v>233</v>
      </c>
      <c r="C246" s="63">
        <f t="shared" si="5"/>
        <v>-987986</v>
      </c>
      <c r="D246" s="63">
        <f t="shared" si="5"/>
        <v>-717149</v>
      </c>
      <c r="E246" s="63">
        <f t="shared" si="5"/>
        <v>-504345</v>
      </c>
      <c r="F246" s="63">
        <f t="shared" si="5"/>
        <v>-723125</v>
      </c>
      <c r="G246" s="63">
        <f t="shared" si="5"/>
        <v>-379013</v>
      </c>
      <c r="I246" s="186"/>
      <c r="K246" s="64">
        <f>ROUND(VLOOKUP($A246,'Contribution Allocation_Report'!$A$9:$D$311,4,FALSE)*$K$326,0)</f>
        <v>-937387</v>
      </c>
      <c r="L246" s="64">
        <f>ROUND(VLOOKUP($A246,'Contribution Allocation_Report'!$A$9:$D$311,4,FALSE)*$L$326,0)</f>
        <v>-681158</v>
      </c>
      <c r="M246" s="64">
        <f>ROUND(VLOOKUP($A246,'Contribution Allocation_Report'!$A$9:$D$311,4,FALSE)*$M$326,0)</f>
        <v>-411055</v>
      </c>
      <c r="N246" s="64">
        <f>ROUND(VLOOKUP($A246,'Contribution Allocation_Report'!$A$9:$D$311,4,FALSE)*$N$326,0)</f>
        <v>-619736</v>
      </c>
      <c r="O246" s="64">
        <f>ROUND(VLOOKUP($A246,'Contribution Allocation_Report'!$A$9:$D$311,4,FALSE)*$O$326,0)</f>
        <v>-353044</v>
      </c>
      <c r="Q246" s="64">
        <f>+K246+VLOOKUP(A246,'Change in Proportion Layers'!$A$8:$N$324,3,FALSE)+VLOOKUP(A246,'Change in Proportion Layers'!$A$8:$Y$324,10,FALSE)+VLOOKUP(A246,'Change in Proportion Layers'!$A$8:$Y$324,16,FALSE)+VLOOKUP(A246,'Change in Proportion Layers'!$A$8:$Y$324,21,FALSE)+VLOOKUP(A246,'Change in Proportion Layers'!$A$8:$Y$324,25,FALSE)</f>
        <v>-987986</v>
      </c>
      <c r="R246" s="64">
        <f>+L246+VLOOKUP(A246,'Change in Proportion Layers'!$A$8:$Y$324,4,FALSE)+VLOOKUP(A246,'Change in Proportion Layers'!$A$8:$Y$324,11,FALSE)+VLOOKUP(A246,'Change in Proportion Layers'!$A$8:$Y$324,17,FALSE)+VLOOKUP(A246,'Change in Proportion Layers'!$A$8:$Y$324,22,FALSE)</f>
        <v>-717149</v>
      </c>
      <c r="S246" s="64">
        <f>+M246+VLOOKUP(A246,'Change in Proportion Layers'!$A$8:$Y$324,5,FALSE)+VLOOKUP(A246,'Change in Proportion Layers'!$A$8:$Y$324,12,FALSE)+VLOOKUP(A246,'Change in Proportion Layers'!$A$8:$Y$324,18,FALSE)</f>
        <v>-504345</v>
      </c>
      <c r="T246" s="64">
        <f>+N246+VLOOKUP(A246,'Change in Proportion Layers'!$A$8:$Y$324,6,FALSE)+VLOOKUP(A246,'Change in Proportion Layers'!$A$8:$Y$324,13,FALSE)</f>
        <v>-723125</v>
      </c>
      <c r="U246" s="64">
        <f>+O246+VLOOKUP(A246,'Change in Proportion Layers'!$A$8:$Y$324,7,FALSE)</f>
        <v>-379013</v>
      </c>
      <c r="W246" s="64">
        <f>('OPEB Amounts_Report'!H246-'OPEB Amounts_Report'!M246)</f>
        <v>-3311618</v>
      </c>
      <c r="X246" s="129">
        <f>SUM(Q246:U246)-('OPEB Amounts_Report'!H246-'OPEB Amounts_Report'!M246)</f>
        <v>0</v>
      </c>
    </row>
    <row r="247" spans="1:24">
      <c r="A247" s="187">
        <v>2440</v>
      </c>
      <c r="B247" s="188" t="s">
        <v>413</v>
      </c>
      <c r="C247" s="5">
        <f t="shared" si="5"/>
        <v>100238</v>
      </c>
      <c r="D247" s="5">
        <f t="shared" si="5"/>
        <v>134870</v>
      </c>
      <c r="E247" s="5">
        <f t="shared" si="5"/>
        <v>167796</v>
      </c>
      <c r="F247" s="5">
        <f t="shared" si="5"/>
        <v>30851</v>
      </c>
      <c r="G247" s="5">
        <f t="shared" si="5"/>
        <v>7208</v>
      </c>
      <c r="I247" s="186"/>
      <c r="K247" s="64">
        <f>ROUND(VLOOKUP($A247,'Contribution Allocation_Report'!$A$9:$D$311,4,FALSE)*$K$326,0)</f>
        <v>-133849</v>
      </c>
      <c r="L247" s="64">
        <f>ROUND(VLOOKUP($A247,'Contribution Allocation_Report'!$A$9:$D$311,4,FALSE)*$L$326,0)</f>
        <v>-97262</v>
      </c>
      <c r="M247" s="64">
        <f>ROUND(VLOOKUP($A247,'Contribution Allocation_Report'!$A$9:$D$311,4,FALSE)*$M$326,0)</f>
        <v>-58694</v>
      </c>
      <c r="N247" s="64">
        <f>ROUND(VLOOKUP($A247,'Contribution Allocation_Report'!$A$9:$D$311,4,FALSE)*$N$326,0)</f>
        <v>-88492</v>
      </c>
      <c r="O247" s="64">
        <f>ROUND(VLOOKUP($A247,'Contribution Allocation_Report'!$A$9:$D$311,4,FALSE)*$O$326,0)</f>
        <v>-50411</v>
      </c>
      <c r="Q247" s="64">
        <f>+K247+VLOOKUP(A247,'Change in Proportion Layers'!$A$8:$N$324,3,FALSE)+VLOOKUP(A247,'Change in Proportion Layers'!$A$8:$Y$324,10,FALSE)+VLOOKUP(A247,'Change in Proportion Layers'!$A$8:$Y$324,16,FALSE)+VLOOKUP(A247,'Change in Proportion Layers'!$A$8:$Y$324,21,FALSE)+VLOOKUP(A247,'Change in Proportion Layers'!$A$8:$Y$324,25,FALSE)</f>
        <v>100238</v>
      </c>
      <c r="R247" s="64">
        <f>+L247+VLOOKUP(A247,'Change in Proportion Layers'!$A$8:$Y$324,4,FALSE)+VLOOKUP(A247,'Change in Proportion Layers'!$A$8:$Y$324,11,FALSE)+VLOOKUP(A247,'Change in Proportion Layers'!$A$8:$Y$324,17,FALSE)+VLOOKUP(A247,'Change in Proportion Layers'!$A$8:$Y$324,22,FALSE)</f>
        <v>134870</v>
      </c>
      <c r="S247" s="64">
        <f>+M247+VLOOKUP(A247,'Change in Proportion Layers'!$A$8:$Y$324,5,FALSE)+VLOOKUP(A247,'Change in Proportion Layers'!$A$8:$Y$324,12,FALSE)+VLOOKUP(A247,'Change in Proportion Layers'!$A$8:$Y$324,18,FALSE)</f>
        <v>167796</v>
      </c>
      <c r="T247" s="64">
        <f>+N247+VLOOKUP(A247,'Change in Proportion Layers'!$A$8:$Y$324,6,FALSE)+VLOOKUP(A247,'Change in Proportion Layers'!$A$8:$Y$324,13,FALSE)</f>
        <v>30851</v>
      </c>
      <c r="U247" s="64">
        <f>+O247+VLOOKUP(A247,'Change in Proportion Layers'!$A$8:$Y$324,7,FALSE)</f>
        <v>7208</v>
      </c>
      <c r="W247" s="64">
        <f>('OPEB Amounts_Report'!H247-'OPEB Amounts_Report'!M247)</f>
        <v>440963</v>
      </c>
      <c r="X247" s="129">
        <f>SUM(Q247:U247)-('OPEB Amounts_Report'!H247-'OPEB Amounts_Report'!M247)</f>
        <v>0</v>
      </c>
    </row>
    <row r="248" spans="1:24">
      <c r="A248" s="184">
        <v>2309</v>
      </c>
      <c r="B248" s="185" t="s">
        <v>234</v>
      </c>
      <c r="C248" s="63">
        <f t="shared" si="5"/>
        <v>-314047</v>
      </c>
      <c r="D248" s="63">
        <f t="shared" si="5"/>
        <v>-239768</v>
      </c>
      <c r="E248" s="63">
        <f t="shared" si="5"/>
        <v>-119357</v>
      </c>
      <c r="F248" s="63">
        <f t="shared" si="5"/>
        <v>-244149</v>
      </c>
      <c r="G248" s="63">
        <f t="shared" si="5"/>
        <v>-164948</v>
      </c>
      <c r="I248" s="186"/>
      <c r="K248" s="64">
        <f>ROUND(VLOOKUP($A248,'Contribution Allocation_Report'!$A$9:$D$311,4,FALSE)*$K$326,0)</f>
        <v>-396280</v>
      </c>
      <c r="L248" s="64">
        <f>ROUND(VLOOKUP($A248,'Contribution Allocation_Report'!$A$9:$D$311,4,FALSE)*$L$326,0)</f>
        <v>-287959</v>
      </c>
      <c r="M248" s="64">
        <f>ROUND(VLOOKUP($A248,'Contribution Allocation_Report'!$A$9:$D$311,4,FALSE)*$M$326,0)</f>
        <v>-173773</v>
      </c>
      <c r="N248" s="64">
        <f>ROUND(VLOOKUP($A248,'Contribution Allocation_Report'!$A$9:$D$311,4,FALSE)*$N$326,0)</f>
        <v>-261993</v>
      </c>
      <c r="O248" s="64">
        <f>ROUND(VLOOKUP($A248,'Contribution Allocation_Report'!$A$9:$D$311,4,FALSE)*$O$326,0)</f>
        <v>-149249</v>
      </c>
      <c r="Q248" s="64">
        <f>+K248+VLOOKUP(A248,'Change in Proportion Layers'!$A$8:$N$324,3,FALSE)+VLOOKUP(A248,'Change in Proportion Layers'!$A$8:$Y$324,10,FALSE)+VLOOKUP(A248,'Change in Proportion Layers'!$A$8:$Y$324,16,FALSE)+VLOOKUP(A248,'Change in Proportion Layers'!$A$8:$Y$324,21,FALSE)+VLOOKUP(A248,'Change in Proportion Layers'!$A$8:$Y$324,25,FALSE)</f>
        <v>-314047</v>
      </c>
      <c r="R248" s="64">
        <f>+L248+VLOOKUP(A248,'Change in Proportion Layers'!$A$8:$Y$324,4,FALSE)+VLOOKUP(A248,'Change in Proportion Layers'!$A$8:$Y$324,11,FALSE)+VLOOKUP(A248,'Change in Proportion Layers'!$A$8:$Y$324,17,FALSE)+VLOOKUP(A248,'Change in Proportion Layers'!$A$8:$Y$324,22,FALSE)</f>
        <v>-239768</v>
      </c>
      <c r="S248" s="64">
        <f>+M248+VLOOKUP(A248,'Change in Proportion Layers'!$A$8:$Y$324,5,FALSE)+VLOOKUP(A248,'Change in Proportion Layers'!$A$8:$Y$324,12,FALSE)+VLOOKUP(A248,'Change in Proportion Layers'!$A$8:$Y$324,18,FALSE)</f>
        <v>-119357</v>
      </c>
      <c r="T248" s="64">
        <f>+N248+VLOOKUP(A248,'Change in Proportion Layers'!$A$8:$Y$324,6,FALSE)+VLOOKUP(A248,'Change in Proportion Layers'!$A$8:$Y$324,13,FALSE)</f>
        <v>-244149</v>
      </c>
      <c r="U248" s="64">
        <f>+O248+VLOOKUP(A248,'Change in Proportion Layers'!$A$8:$Y$324,7,FALSE)-1</f>
        <v>-164948</v>
      </c>
      <c r="W248" s="64">
        <f>('OPEB Amounts_Report'!H248-'OPEB Amounts_Report'!M248)</f>
        <v>-1082269</v>
      </c>
      <c r="X248" s="129">
        <f>SUM(Q248:U248)-('OPEB Amounts_Report'!H248-'OPEB Amounts_Report'!M248)</f>
        <v>0</v>
      </c>
    </row>
    <row r="249" spans="1:24">
      <c r="A249" s="187">
        <v>2396</v>
      </c>
      <c r="B249" s="188" t="s">
        <v>235</v>
      </c>
      <c r="C249" s="5">
        <f t="shared" si="5"/>
        <v>-53365</v>
      </c>
      <c r="D249" s="5">
        <f t="shared" si="5"/>
        <v>-21261</v>
      </c>
      <c r="E249" s="5">
        <f t="shared" si="5"/>
        <v>465</v>
      </c>
      <c r="F249" s="5">
        <f t="shared" si="5"/>
        <v>-46998</v>
      </c>
      <c r="G249" s="5">
        <f t="shared" si="5"/>
        <v>-29064</v>
      </c>
      <c r="I249" s="186"/>
      <c r="K249" s="64">
        <f>ROUND(VLOOKUP($A249,'Contribution Allocation_Report'!$A$9:$D$311,4,FALSE)*$K$326,0)</f>
        <v>-119307</v>
      </c>
      <c r="L249" s="64">
        <f>ROUND(VLOOKUP($A249,'Contribution Allocation_Report'!$A$9:$D$311,4,FALSE)*$L$326,0)</f>
        <v>-86695</v>
      </c>
      <c r="M249" s="64">
        <f>ROUND(VLOOKUP($A249,'Contribution Allocation_Report'!$A$9:$D$311,4,FALSE)*$M$326,0)</f>
        <v>-52317</v>
      </c>
      <c r="N249" s="64">
        <f>ROUND(VLOOKUP($A249,'Contribution Allocation_Report'!$A$9:$D$311,4,FALSE)*$N$326,0)</f>
        <v>-78877</v>
      </c>
      <c r="O249" s="64">
        <f>ROUND(VLOOKUP($A249,'Contribution Allocation_Report'!$A$9:$D$311,4,FALSE)*$O$326,0)</f>
        <v>-44934</v>
      </c>
      <c r="Q249" s="64">
        <f>+K249+VLOOKUP(A249,'Change in Proportion Layers'!$A$8:$N$324,3,FALSE)+VLOOKUP(A249,'Change in Proportion Layers'!$A$8:$Y$324,10,FALSE)+VLOOKUP(A249,'Change in Proportion Layers'!$A$8:$Y$324,16,FALSE)+VLOOKUP(A249,'Change in Proportion Layers'!$A$8:$Y$324,21,FALSE)+VLOOKUP(A249,'Change in Proportion Layers'!$A$8:$Y$324,25,FALSE)</f>
        <v>-53365</v>
      </c>
      <c r="R249" s="64">
        <f>+L249+VLOOKUP(A249,'Change in Proportion Layers'!$A$8:$Y$324,4,FALSE)+VLOOKUP(A249,'Change in Proportion Layers'!$A$8:$Y$324,11,FALSE)+VLOOKUP(A249,'Change in Proportion Layers'!$A$8:$Y$324,17,FALSE)+VLOOKUP(A249,'Change in Proportion Layers'!$A$8:$Y$324,22,FALSE)</f>
        <v>-21261</v>
      </c>
      <c r="S249" s="64">
        <f>+M249+VLOOKUP(A249,'Change in Proportion Layers'!$A$8:$Y$324,5,FALSE)+VLOOKUP(A249,'Change in Proportion Layers'!$A$8:$Y$324,12,FALSE)+VLOOKUP(A249,'Change in Proportion Layers'!$A$8:$Y$324,18,FALSE)</f>
        <v>465</v>
      </c>
      <c r="T249" s="64">
        <f>+N249+VLOOKUP(A249,'Change in Proportion Layers'!$A$8:$Y$324,6,FALSE)+VLOOKUP(A249,'Change in Proportion Layers'!$A$8:$Y$324,13,FALSE)</f>
        <v>-46998</v>
      </c>
      <c r="U249" s="64">
        <f>+O249+VLOOKUP(A249,'Change in Proportion Layers'!$A$8:$Y$324,7,FALSE)-1</f>
        <v>-29064</v>
      </c>
      <c r="W249" s="64">
        <f>('OPEB Amounts_Report'!H249-'OPEB Amounts_Report'!M249)</f>
        <v>-150223</v>
      </c>
      <c r="X249" s="129">
        <f>SUM(Q249:U249)-('OPEB Amounts_Report'!H249-'OPEB Amounts_Report'!M249)</f>
        <v>0</v>
      </c>
    </row>
    <row r="250" spans="1:24">
      <c r="A250" s="184">
        <v>3380</v>
      </c>
      <c r="B250" s="185" t="s">
        <v>236</v>
      </c>
      <c r="C250" s="63">
        <f t="shared" si="5"/>
        <v>-92301</v>
      </c>
      <c r="D250" s="63">
        <f t="shared" si="5"/>
        <v>-59166</v>
      </c>
      <c r="E250" s="63">
        <f t="shared" si="5"/>
        <v>-26292</v>
      </c>
      <c r="F250" s="63">
        <f t="shared" si="5"/>
        <v>-51319</v>
      </c>
      <c r="G250" s="63">
        <f t="shared" si="5"/>
        <v>-36004</v>
      </c>
      <c r="I250" s="186"/>
      <c r="K250" s="64">
        <f>ROUND(VLOOKUP($A250,'Contribution Allocation_Report'!$A$9:$D$311,4,FALSE)*$K$326,0)</f>
        <v>-84364</v>
      </c>
      <c r="L250" s="64">
        <f>ROUND(VLOOKUP($A250,'Contribution Allocation_Report'!$A$9:$D$311,4,FALSE)*$L$326,0)</f>
        <v>-61303</v>
      </c>
      <c r="M250" s="64">
        <f>ROUND(VLOOKUP($A250,'Contribution Allocation_Report'!$A$9:$D$311,4,FALSE)*$M$326,0)</f>
        <v>-36994</v>
      </c>
      <c r="N250" s="64">
        <f>ROUND(VLOOKUP($A250,'Contribution Allocation_Report'!$A$9:$D$311,4,FALSE)*$N$326,0)</f>
        <v>-55775</v>
      </c>
      <c r="O250" s="64">
        <f>ROUND(VLOOKUP($A250,'Contribution Allocation_Report'!$A$9:$D$311,4,FALSE)*$O$326,0)</f>
        <v>-31774</v>
      </c>
      <c r="Q250" s="64">
        <f>+K250+VLOOKUP(A250,'Change in Proportion Layers'!$A$8:$N$324,3,FALSE)+VLOOKUP(A250,'Change in Proportion Layers'!$A$8:$Y$324,10,FALSE)+VLOOKUP(A250,'Change in Proportion Layers'!$A$8:$Y$324,16,FALSE)+VLOOKUP(A250,'Change in Proportion Layers'!$A$8:$Y$324,21,FALSE)+VLOOKUP(A250,'Change in Proportion Layers'!$A$8:$Y$324,25,FALSE)</f>
        <v>-92301</v>
      </c>
      <c r="R250" s="64">
        <f>+L250+VLOOKUP(A250,'Change in Proportion Layers'!$A$8:$Y$324,4,FALSE)+VLOOKUP(A250,'Change in Proportion Layers'!$A$8:$Y$324,11,FALSE)+VLOOKUP(A250,'Change in Proportion Layers'!$A$8:$Y$324,17,FALSE)+VLOOKUP(A250,'Change in Proportion Layers'!$A$8:$Y$324,22,FALSE)</f>
        <v>-59166</v>
      </c>
      <c r="S250" s="64">
        <f>+M250+VLOOKUP(A250,'Change in Proportion Layers'!$A$8:$Y$324,5,FALSE)+VLOOKUP(A250,'Change in Proportion Layers'!$A$8:$Y$324,12,FALSE)+VLOOKUP(A250,'Change in Proportion Layers'!$A$8:$Y$324,18,FALSE)</f>
        <v>-26292</v>
      </c>
      <c r="T250" s="64">
        <f>+N250+VLOOKUP(A250,'Change in Proportion Layers'!$A$8:$Y$324,6,FALSE)+VLOOKUP(A250,'Change in Proportion Layers'!$A$8:$Y$324,13,FALSE)</f>
        <v>-51319</v>
      </c>
      <c r="U250" s="64">
        <f>+O250+VLOOKUP(A250,'Change in Proportion Layers'!$A$8:$Y$324,7,FALSE)-2</f>
        <v>-36004</v>
      </c>
      <c r="W250" s="64">
        <f>('OPEB Amounts_Report'!H250-'OPEB Amounts_Report'!M250)</f>
        <v>-265082</v>
      </c>
      <c r="X250" s="129">
        <f>SUM(Q250:U250)-('OPEB Amounts_Report'!H250-'OPEB Amounts_Report'!M250)</f>
        <v>0</v>
      </c>
    </row>
    <row r="251" spans="1:24">
      <c r="A251" s="187">
        <v>2420</v>
      </c>
      <c r="B251" s="188" t="s">
        <v>237</v>
      </c>
      <c r="C251" s="5">
        <f t="shared" si="5"/>
        <v>-112787</v>
      </c>
      <c r="D251" s="5">
        <f t="shared" si="5"/>
        <v>-108341</v>
      </c>
      <c r="E251" s="5">
        <f t="shared" si="5"/>
        <v>-98305</v>
      </c>
      <c r="F251" s="5">
        <f t="shared" si="5"/>
        <v>-94924</v>
      </c>
      <c r="G251" s="5">
        <f t="shared" si="5"/>
        <v>-56149</v>
      </c>
      <c r="I251" s="186"/>
      <c r="K251" s="64">
        <f>ROUND(VLOOKUP($A251,'Contribution Allocation_Report'!$A$9:$D$311,4,FALSE)*$K$326,0)</f>
        <v>-110430</v>
      </c>
      <c r="L251" s="64">
        <f>ROUND(VLOOKUP($A251,'Contribution Allocation_Report'!$A$9:$D$311,4,FALSE)*$L$326,0)</f>
        <v>-80244</v>
      </c>
      <c r="M251" s="64">
        <f>ROUND(VLOOKUP($A251,'Contribution Allocation_Report'!$A$9:$D$311,4,FALSE)*$M$326,0)</f>
        <v>-48425</v>
      </c>
      <c r="N251" s="64">
        <f>ROUND(VLOOKUP($A251,'Contribution Allocation_Report'!$A$9:$D$311,4,FALSE)*$N$326,0)</f>
        <v>-73009</v>
      </c>
      <c r="O251" s="64">
        <f>ROUND(VLOOKUP($A251,'Contribution Allocation_Report'!$A$9:$D$311,4,FALSE)*$O$326,0)</f>
        <v>-41591</v>
      </c>
      <c r="Q251" s="64">
        <f>+K251+VLOOKUP(A251,'Change in Proportion Layers'!$A$8:$N$324,3,FALSE)+VLOOKUP(A251,'Change in Proportion Layers'!$A$8:$Y$324,10,FALSE)+VLOOKUP(A251,'Change in Proportion Layers'!$A$8:$Y$324,16,FALSE)+VLOOKUP(A251,'Change in Proportion Layers'!$A$8:$Y$324,21,FALSE)+VLOOKUP(A251,'Change in Proportion Layers'!$A$8:$Y$324,25,FALSE)</f>
        <v>-112787</v>
      </c>
      <c r="R251" s="64">
        <f>+L251+VLOOKUP(A251,'Change in Proportion Layers'!$A$8:$Y$324,4,FALSE)+VLOOKUP(A251,'Change in Proportion Layers'!$A$8:$Y$324,11,FALSE)+VLOOKUP(A251,'Change in Proportion Layers'!$A$8:$Y$324,17,FALSE)+VLOOKUP(A251,'Change in Proportion Layers'!$A$8:$Y$324,22,FALSE)</f>
        <v>-108341</v>
      </c>
      <c r="S251" s="64">
        <f>+M251+VLOOKUP(A251,'Change in Proportion Layers'!$A$8:$Y$324,5,FALSE)+VLOOKUP(A251,'Change in Proportion Layers'!$A$8:$Y$324,12,FALSE)+VLOOKUP(A251,'Change in Proportion Layers'!$A$8:$Y$324,18,FALSE)</f>
        <v>-98305</v>
      </c>
      <c r="T251" s="64">
        <f>+N251+VLOOKUP(A251,'Change in Proportion Layers'!$A$8:$Y$324,6,FALSE)+VLOOKUP(A251,'Change in Proportion Layers'!$A$8:$Y$324,13,FALSE)</f>
        <v>-94924</v>
      </c>
      <c r="U251" s="64">
        <f>+O251+VLOOKUP(A251,'Change in Proportion Layers'!$A$8:$Y$324,7,FALSE)+1</f>
        <v>-56149</v>
      </c>
      <c r="W251" s="64">
        <f>('OPEB Amounts_Report'!H251-'OPEB Amounts_Report'!M251)</f>
        <v>-470506</v>
      </c>
      <c r="X251" s="129">
        <f>SUM(Q251:U251)-('OPEB Amounts_Report'!H251-'OPEB Amounts_Report'!M251)</f>
        <v>0</v>
      </c>
    </row>
    <row r="252" spans="1:24">
      <c r="A252" s="184">
        <v>2740</v>
      </c>
      <c r="B252" s="185" t="s">
        <v>238</v>
      </c>
      <c r="C252" s="63">
        <f t="shared" si="5"/>
        <v>-18731</v>
      </c>
      <c r="D252" s="63">
        <f t="shared" si="5"/>
        <v>-11702</v>
      </c>
      <c r="E252" s="63">
        <f t="shared" si="5"/>
        <v>-2369</v>
      </c>
      <c r="F252" s="63">
        <f t="shared" si="5"/>
        <v>-2729</v>
      </c>
      <c r="G252" s="63">
        <f t="shared" si="5"/>
        <v>-3338</v>
      </c>
      <c r="I252" s="186"/>
      <c r="K252" s="64">
        <f>ROUND(VLOOKUP($A252,'Contribution Allocation_Report'!$A$9:$D$311,4,FALSE)*$K$326,0)</f>
        <v>-24057</v>
      </c>
      <c r="L252" s="64">
        <f>ROUND(VLOOKUP($A252,'Contribution Allocation_Report'!$A$9:$D$311,4,FALSE)*$L$326,0)</f>
        <v>-17481</v>
      </c>
      <c r="M252" s="64">
        <f>ROUND(VLOOKUP($A252,'Contribution Allocation_Report'!$A$9:$D$311,4,FALSE)*$M$326,0)</f>
        <v>-10549</v>
      </c>
      <c r="N252" s="64">
        <f>ROUND(VLOOKUP($A252,'Contribution Allocation_Report'!$A$9:$D$311,4,FALSE)*$N$326,0)</f>
        <v>-15905</v>
      </c>
      <c r="O252" s="64">
        <f>ROUND(VLOOKUP($A252,'Contribution Allocation_Report'!$A$9:$D$311,4,FALSE)*$O$326,0)</f>
        <v>-9060</v>
      </c>
      <c r="Q252" s="64">
        <f>+K252+VLOOKUP(A252,'Change in Proportion Layers'!$A$8:$N$324,3,FALSE)+VLOOKUP(A252,'Change in Proportion Layers'!$A$8:$Y$324,10,FALSE)+VLOOKUP(A252,'Change in Proportion Layers'!$A$8:$Y$324,16,FALSE)+VLOOKUP(A252,'Change in Proportion Layers'!$A$8:$Y$324,21,FALSE)+VLOOKUP(A252,'Change in Proportion Layers'!$A$8:$Y$324,25,FALSE)</f>
        <v>-18731</v>
      </c>
      <c r="R252" s="64">
        <f>+L252+VLOOKUP(A252,'Change in Proportion Layers'!$A$8:$Y$324,4,FALSE)+VLOOKUP(A252,'Change in Proportion Layers'!$A$8:$Y$324,11,FALSE)+VLOOKUP(A252,'Change in Proportion Layers'!$A$8:$Y$324,17,FALSE)+VLOOKUP(A252,'Change in Proportion Layers'!$A$8:$Y$324,22,FALSE)</f>
        <v>-11702</v>
      </c>
      <c r="S252" s="64">
        <f>+M252+VLOOKUP(A252,'Change in Proportion Layers'!$A$8:$Y$324,5,FALSE)+VLOOKUP(A252,'Change in Proportion Layers'!$A$8:$Y$324,12,FALSE)+VLOOKUP(A252,'Change in Proportion Layers'!$A$8:$Y$324,18,FALSE)</f>
        <v>-2369</v>
      </c>
      <c r="T252" s="64">
        <f>+N252+VLOOKUP(A252,'Change in Proportion Layers'!$A$8:$Y$324,6,FALSE)+VLOOKUP(A252,'Change in Proportion Layers'!$A$8:$Y$324,13,FALSE)</f>
        <v>-2729</v>
      </c>
      <c r="U252" s="64">
        <f>+O252+VLOOKUP(A252,'Change in Proportion Layers'!$A$8:$Y$324,7,FALSE)</f>
        <v>-3338</v>
      </c>
      <c r="W252" s="64">
        <f>('OPEB Amounts_Report'!H252-'OPEB Amounts_Report'!M252)</f>
        <v>-38869</v>
      </c>
      <c r="X252" s="129">
        <f>SUM(Q252:U252)-('OPEB Amounts_Report'!H252-'OPEB Amounts_Report'!M252)</f>
        <v>0</v>
      </c>
    </row>
    <row r="253" spans="1:24">
      <c r="A253" s="187">
        <v>2346</v>
      </c>
      <c r="B253" s="188" t="s">
        <v>239</v>
      </c>
      <c r="C253" s="5">
        <f t="shared" si="5"/>
        <v>-12223</v>
      </c>
      <c r="D253" s="5">
        <f t="shared" si="5"/>
        <v>-37931</v>
      </c>
      <c r="E253" s="5">
        <f t="shared" si="5"/>
        <v>-24130</v>
      </c>
      <c r="F253" s="5">
        <f t="shared" si="5"/>
        <v>-47804</v>
      </c>
      <c r="G253" s="5">
        <f t="shared" si="5"/>
        <v>-19106</v>
      </c>
      <c r="I253" s="186"/>
      <c r="K253" s="64">
        <f>ROUND(VLOOKUP($A253,'Contribution Allocation_Report'!$A$9:$D$311,4,FALSE)*$K$326,0)</f>
        <v>-98654</v>
      </c>
      <c r="L253" s="64">
        <f>ROUND(VLOOKUP($A253,'Contribution Allocation_Report'!$A$9:$D$311,4,FALSE)*$L$326,0)</f>
        <v>-71687</v>
      </c>
      <c r="M253" s="64">
        <f>ROUND(VLOOKUP($A253,'Contribution Allocation_Report'!$A$9:$D$311,4,FALSE)*$M$326,0)</f>
        <v>-43261</v>
      </c>
      <c r="N253" s="64">
        <f>ROUND(VLOOKUP($A253,'Contribution Allocation_Report'!$A$9:$D$311,4,FALSE)*$N$326,0)</f>
        <v>-65223</v>
      </c>
      <c r="O253" s="64">
        <f>ROUND(VLOOKUP($A253,'Contribution Allocation_Report'!$A$9:$D$311,4,FALSE)*$O$326,0)</f>
        <v>-37156</v>
      </c>
      <c r="Q253" s="64">
        <f>+K253+VLOOKUP(A253,'Change in Proportion Layers'!$A$8:$N$324,3,FALSE)+VLOOKUP(A253,'Change in Proportion Layers'!$A$8:$Y$324,10,FALSE)+VLOOKUP(A253,'Change in Proportion Layers'!$A$8:$Y$324,16,FALSE)+VLOOKUP(A253,'Change in Proportion Layers'!$A$8:$Y$324,21,FALSE)+VLOOKUP(A253,'Change in Proportion Layers'!$A$8:$Y$324,25,FALSE)</f>
        <v>-12223</v>
      </c>
      <c r="R253" s="64">
        <f>+L253+VLOOKUP(A253,'Change in Proportion Layers'!$A$8:$Y$324,4,FALSE)+VLOOKUP(A253,'Change in Proportion Layers'!$A$8:$Y$324,11,FALSE)+VLOOKUP(A253,'Change in Proportion Layers'!$A$8:$Y$324,17,FALSE)+VLOOKUP(A253,'Change in Proportion Layers'!$A$8:$Y$324,22,FALSE)</f>
        <v>-37931</v>
      </c>
      <c r="S253" s="64">
        <f>+M253+VLOOKUP(A253,'Change in Proportion Layers'!$A$8:$Y$324,5,FALSE)+VLOOKUP(A253,'Change in Proportion Layers'!$A$8:$Y$324,12,FALSE)+VLOOKUP(A253,'Change in Proportion Layers'!$A$8:$Y$324,18,FALSE)</f>
        <v>-24130</v>
      </c>
      <c r="T253" s="64">
        <f>+N253+VLOOKUP(A253,'Change in Proportion Layers'!$A$8:$Y$324,6,FALSE)+VLOOKUP(A253,'Change in Proportion Layers'!$A$8:$Y$324,13,FALSE)</f>
        <v>-47804</v>
      </c>
      <c r="U253" s="64">
        <f>+O253+VLOOKUP(A253,'Change in Proportion Layers'!$A$8:$Y$324,7,FALSE)+1</f>
        <v>-19106</v>
      </c>
      <c r="W253" s="64">
        <f>('OPEB Amounts_Report'!H253-'OPEB Amounts_Report'!M253)</f>
        <v>-141194</v>
      </c>
      <c r="X253" s="129">
        <f>SUM(Q253:U253)-('OPEB Amounts_Report'!H253-'OPEB Amounts_Report'!M253)</f>
        <v>0</v>
      </c>
    </row>
    <row r="254" spans="1:24">
      <c r="A254" s="184">
        <v>21150</v>
      </c>
      <c r="B254" s="185" t="s">
        <v>240</v>
      </c>
      <c r="C254" s="63">
        <f t="shared" si="5"/>
        <v>-96586</v>
      </c>
      <c r="D254" s="63">
        <f t="shared" si="5"/>
        <v>-100850</v>
      </c>
      <c r="E254" s="63">
        <f t="shared" si="5"/>
        <v>-65765</v>
      </c>
      <c r="F254" s="63">
        <f t="shared" si="5"/>
        <v>-101468</v>
      </c>
      <c r="G254" s="63">
        <f t="shared" si="5"/>
        <v>-65111</v>
      </c>
      <c r="I254" s="186"/>
      <c r="K254" s="64">
        <f>ROUND(VLOOKUP($A254,'Contribution Allocation_Report'!$A$9:$D$311,4,FALSE)*$K$326,0)</f>
        <v>-229034</v>
      </c>
      <c r="L254" s="64">
        <f>ROUND(VLOOKUP($A254,'Contribution Allocation_Report'!$A$9:$D$311,4,FALSE)*$L$326,0)</f>
        <v>-166429</v>
      </c>
      <c r="M254" s="64">
        <f>ROUND(VLOOKUP($A254,'Contribution Allocation_Report'!$A$9:$D$311,4,FALSE)*$M$326,0)</f>
        <v>-100434</v>
      </c>
      <c r="N254" s="64">
        <f>ROUND(VLOOKUP($A254,'Contribution Allocation_Report'!$A$9:$D$311,4,FALSE)*$N$326,0)</f>
        <v>-151422</v>
      </c>
      <c r="O254" s="64">
        <f>ROUND(VLOOKUP($A254,'Contribution Allocation_Report'!$A$9:$D$311,4,FALSE)*$O$326,0)</f>
        <v>-86260</v>
      </c>
      <c r="Q254" s="64">
        <f>+K254+VLOOKUP(A254,'Change in Proportion Layers'!$A$8:$N$324,3,FALSE)+VLOOKUP(A254,'Change in Proportion Layers'!$A$8:$Y$324,10,FALSE)+VLOOKUP(A254,'Change in Proportion Layers'!$A$8:$Y$324,16,FALSE)+VLOOKUP(A254,'Change in Proportion Layers'!$A$8:$Y$324,21,FALSE)+VLOOKUP(A254,'Change in Proportion Layers'!$A$8:$Y$324,25,FALSE)</f>
        <v>-96586</v>
      </c>
      <c r="R254" s="64">
        <f>+L254+VLOOKUP(A254,'Change in Proportion Layers'!$A$8:$Y$324,4,FALSE)+VLOOKUP(A254,'Change in Proportion Layers'!$A$8:$Y$324,11,FALSE)+VLOOKUP(A254,'Change in Proportion Layers'!$A$8:$Y$324,17,FALSE)+VLOOKUP(A254,'Change in Proportion Layers'!$A$8:$Y$324,22,FALSE)</f>
        <v>-100850</v>
      </c>
      <c r="S254" s="64">
        <f>+M254+VLOOKUP(A254,'Change in Proportion Layers'!$A$8:$Y$324,5,FALSE)+VLOOKUP(A254,'Change in Proportion Layers'!$A$8:$Y$324,12,FALSE)+VLOOKUP(A254,'Change in Proportion Layers'!$A$8:$Y$324,18,FALSE)</f>
        <v>-65765</v>
      </c>
      <c r="T254" s="64">
        <f>+N254+VLOOKUP(A254,'Change in Proportion Layers'!$A$8:$Y$324,6,FALSE)+VLOOKUP(A254,'Change in Proportion Layers'!$A$8:$Y$324,13,FALSE)</f>
        <v>-101468</v>
      </c>
      <c r="U254" s="64">
        <f>+O254+VLOOKUP(A254,'Change in Proportion Layers'!$A$8:$Y$324,7,FALSE)-1</f>
        <v>-65111</v>
      </c>
      <c r="W254" s="64">
        <f>('OPEB Amounts_Report'!H254-'OPEB Amounts_Report'!M254)</f>
        <v>-429780</v>
      </c>
      <c r="X254" s="129">
        <f>SUM(Q254:U254)-('OPEB Amounts_Report'!H254-'OPEB Amounts_Report'!M254)</f>
        <v>0</v>
      </c>
    </row>
    <row r="255" spans="1:24">
      <c r="A255" s="187">
        <v>32098</v>
      </c>
      <c r="B255" s="188" t="s">
        <v>241</v>
      </c>
      <c r="C255" s="5">
        <f t="shared" si="5"/>
        <v>-122082</v>
      </c>
      <c r="D255" s="5">
        <f t="shared" si="5"/>
        <v>-116093</v>
      </c>
      <c r="E255" s="5">
        <f t="shared" si="5"/>
        <v>-80873</v>
      </c>
      <c r="F255" s="5">
        <f t="shared" si="5"/>
        <v>-76031</v>
      </c>
      <c r="G255" s="5">
        <f t="shared" si="5"/>
        <v>-47242</v>
      </c>
      <c r="I255" s="186"/>
      <c r="K255" s="64">
        <f>ROUND(VLOOKUP($A255,'Contribution Allocation_Report'!$A$9:$D$311,4,FALSE)*$K$326,0)</f>
        <v>-98787</v>
      </c>
      <c r="L255" s="64">
        <f>ROUND(VLOOKUP($A255,'Contribution Allocation_Report'!$A$9:$D$311,4,FALSE)*$L$326,0)</f>
        <v>-71784</v>
      </c>
      <c r="M255" s="64">
        <f>ROUND(VLOOKUP($A255,'Contribution Allocation_Report'!$A$9:$D$311,4,FALSE)*$M$326,0)</f>
        <v>-43319</v>
      </c>
      <c r="N255" s="64">
        <f>ROUND(VLOOKUP($A255,'Contribution Allocation_Report'!$A$9:$D$311,4,FALSE)*$N$326,0)</f>
        <v>-65311</v>
      </c>
      <c r="O255" s="64">
        <f>ROUND(VLOOKUP($A255,'Contribution Allocation_Report'!$A$9:$D$311,4,FALSE)*$O$326,0)</f>
        <v>-37206</v>
      </c>
      <c r="Q255" s="64">
        <f>+K255+VLOOKUP(A255,'Change in Proportion Layers'!$A$8:$N$324,3,FALSE)+VLOOKUP(A255,'Change in Proportion Layers'!$A$8:$Y$324,10,FALSE)+VLOOKUP(A255,'Change in Proportion Layers'!$A$8:$Y$324,16,FALSE)+VLOOKUP(A255,'Change in Proportion Layers'!$A$8:$Y$324,21,FALSE)+VLOOKUP(A255,'Change in Proportion Layers'!$A$8:$Y$324,25,FALSE)</f>
        <v>-122082</v>
      </c>
      <c r="R255" s="64">
        <f>+L255+VLOOKUP(A255,'Change in Proportion Layers'!$A$8:$Y$324,4,FALSE)+VLOOKUP(A255,'Change in Proportion Layers'!$A$8:$Y$324,11,FALSE)+VLOOKUP(A255,'Change in Proportion Layers'!$A$8:$Y$324,17,FALSE)+VLOOKUP(A255,'Change in Proportion Layers'!$A$8:$Y$324,22,FALSE)</f>
        <v>-116093</v>
      </c>
      <c r="S255" s="64">
        <f>+M255+VLOOKUP(A255,'Change in Proportion Layers'!$A$8:$Y$324,5,FALSE)+VLOOKUP(A255,'Change in Proportion Layers'!$A$8:$Y$324,12,FALSE)+VLOOKUP(A255,'Change in Proportion Layers'!$A$8:$Y$324,18,FALSE)</f>
        <v>-80873</v>
      </c>
      <c r="T255" s="64">
        <f>+N255+VLOOKUP(A255,'Change in Proportion Layers'!$A$8:$Y$324,6,FALSE)+VLOOKUP(A255,'Change in Proportion Layers'!$A$8:$Y$324,13,FALSE)</f>
        <v>-76031</v>
      </c>
      <c r="U255" s="64">
        <f>+O255+VLOOKUP(A255,'Change in Proportion Layers'!$A$8:$Y$324,7,FALSE)+1</f>
        <v>-47242</v>
      </c>
      <c r="W255" s="64">
        <f>('OPEB Amounts_Report'!H255-'OPEB Amounts_Report'!M255)</f>
        <v>-442321</v>
      </c>
      <c r="X255" s="129">
        <f>SUM(Q255:U255)-('OPEB Amounts_Report'!H255-'OPEB Amounts_Report'!M255)</f>
        <v>0</v>
      </c>
    </row>
    <row r="256" spans="1:24">
      <c r="A256" s="184">
        <v>4520</v>
      </c>
      <c r="B256" s="185" t="s">
        <v>242</v>
      </c>
      <c r="C256" s="63">
        <f t="shared" si="5"/>
        <v>-11480</v>
      </c>
      <c r="D256" s="63">
        <f t="shared" si="5"/>
        <v>-8050</v>
      </c>
      <c r="E256" s="63">
        <f t="shared" si="5"/>
        <v>-4583</v>
      </c>
      <c r="F256" s="63">
        <f t="shared" si="5"/>
        <v>-7446</v>
      </c>
      <c r="G256" s="63">
        <f t="shared" si="5"/>
        <v>-5017</v>
      </c>
      <c r="I256" s="186"/>
      <c r="K256" s="64">
        <f>ROUND(VLOOKUP($A256,'Contribution Allocation_Report'!$A$9:$D$311,4,FALSE)*$K$326,0)</f>
        <v>-14597</v>
      </c>
      <c r="L256" s="64">
        <f>ROUND(VLOOKUP($A256,'Contribution Allocation_Report'!$A$9:$D$311,4,FALSE)*$L$326,0)</f>
        <v>-10607</v>
      </c>
      <c r="M256" s="64">
        <f>ROUND(VLOOKUP($A256,'Contribution Allocation_Report'!$A$9:$D$311,4,FALSE)*$M$326,0)</f>
        <v>-6401</v>
      </c>
      <c r="N256" s="64">
        <f>ROUND(VLOOKUP($A256,'Contribution Allocation_Report'!$A$9:$D$311,4,FALSE)*$N$326,0)</f>
        <v>-9651</v>
      </c>
      <c r="O256" s="64">
        <f>ROUND(VLOOKUP($A256,'Contribution Allocation_Report'!$A$9:$D$311,4,FALSE)*$O$326,0)</f>
        <v>-5498</v>
      </c>
      <c r="Q256" s="64">
        <f>+K256+VLOOKUP(A256,'Change in Proportion Layers'!$A$8:$N$324,3,FALSE)+VLOOKUP(A256,'Change in Proportion Layers'!$A$8:$Y$324,10,FALSE)+VLOOKUP(A256,'Change in Proportion Layers'!$A$8:$Y$324,16,FALSE)+VLOOKUP(A256,'Change in Proportion Layers'!$A$8:$Y$324,21,FALSE)+VLOOKUP(A256,'Change in Proportion Layers'!$A$8:$Y$324,25,FALSE)</f>
        <v>-11480</v>
      </c>
      <c r="R256" s="64">
        <f>+L256+VLOOKUP(A256,'Change in Proportion Layers'!$A$8:$Y$324,4,FALSE)+VLOOKUP(A256,'Change in Proportion Layers'!$A$8:$Y$324,11,FALSE)+VLOOKUP(A256,'Change in Proportion Layers'!$A$8:$Y$324,17,FALSE)+VLOOKUP(A256,'Change in Proportion Layers'!$A$8:$Y$324,22,FALSE)</f>
        <v>-8050</v>
      </c>
      <c r="S256" s="64">
        <f>+M256+VLOOKUP(A256,'Change in Proportion Layers'!$A$8:$Y$324,5,FALSE)+VLOOKUP(A256,'Change in Proportion Layers'!$A$8:$Y$324,12,FALSE)+VLOOKUP(A256,'Change in Proportion Layers'!$A$8:$Y$324,18,FALSE)</f>
        <v>-4583</v>
      </c>
      <c r="T256" s="64">
        <f>+N256+VLOOKUP(A256,'Change in Proportion Layers'!$A$8:$Y$324,6,FALSE)+VLOOKUP(A256,'Change in Proportion Layers'!$A$8:$Y$324,13,FALSE)</f>
        <v>-7446</v>
      </c>
      <c r="U256" s="64">
        <f>+O256+VLOOKUP(A256,'Change in Proportion Layers'!$A$8:$Y$324,7,FALSE)-1</f>
        <v>-5017</v>
      </c>
      <c r="W256" s="64">
        <f>('OPEB Amounts_Report'!H256-'OPEB Amounts_Report'!M256)</f>
        <v>-36576</v>
      </c>
      <c r="X256" s="129">
        <f>SUM(Q256:U256)-('OPEB Amounts_Report'!H256-'OPEB Amounts_Report'!M256)</f>
        <v>0</v>
      </c>
    </row>
    <row r="257" spans="1:24">
      <c r="A257" s="187">
        <v>9030</v>
      </c>
      <c r="B257" s="188" t="s">
        <v>243</v>
      </c>
      <c r="C257" s="5">
        <f t="shared" si="5"/>
        <v>-152153</v>
      </c>
      <c r="D257" s="5">
        <f t="shared" si="5"/>
        <v>-112022</v>
      </c>
      <c r="E257" s="5">
        <f t="shared" si="5"/>
        <v>-59020</v>
      </c>
      <c r="F257" s="5">
        <f t="shared" si="5"/>
        <v>-89649</v>
      </c>
      <c r="G257" s="5">
        <f t="shared" si="5"/>
        <v>-51460</v>
      </c>
      <c r="I257" s="186"/>
      <c r="K257" s="64">
        <f>ROUND(VLOOKUP($A257,'Contribution Allocation_Report'!$A$9:$D$311,4,FALSE)*$K$326,0)</f>
        <v>-136766</v>
      </c>
      <c r="L257" s="64">
        <f>ROUND(VLOOKUP($A257,'Contribution Allocation_Report'!$A$9:$D$311,4,FALSE)*$L$326,0)</f>
        <v>-99382</v>
      </c>
      <c r="M257" s="64">
        <f>ROUND(VLOOKUP($A257,'Contribution Allocation_Report'!$A$9:$D$311,4,FALSE)*$M$326,0)</f>
        <v>-59974</v>
      </c>
      <c r="N257" s="64">
        <f>ROUND(VLOOKUP($A257,'Contribution Allocation_Report'!$A$9:$D$311,4,FALSE)*$N$326,0)</f>
        <v>-90421</v>
      </c>
      <c r="O257" s="64">
        <f>ROUND(VLOOKUP($A257,'Contribution Allocation_Report'!$A$9:$D$311,4,FALSE)*$O$326,0)</f>
        <v>-51510</v>
      </c>
      <c r="Q257" s="64">
        <f>+K257+VLOOKUP(A257,'Change in Proportion Layers'!$A$8:$N$324,3,FALSE)+VLOOKUP(A257,'Change in Proportion Layers'!$A$8:$Y$324,10,FALSE)+VLOOKUP(A257,'Change in Proportion Layers'!$A$8:$Y$324,16,FALSE)+VLOOKUP(A257,'Change in Proportion Layers'!$A$8:$Y$324,21,FALSE)+VLOOKUP(A257,'Change in Proportion Layers'!$A$8:$Y$324,25,FALSE)</f>
        <v>-152153</v>
      </c>
      <c r="R257" s="64">
        <f>+L257+VLOOKUP(A257,'Change in Proportion Layers'!$A$8:$Y$324,4,FALSE)+VLOOKUP(A257,'Change in Proportion Layers'!$A$8:$Y$324,11,FALSE)+VLOOKUP(A257,'Change in Proportion Layers'!$A$8:$Y$324,17,FALSE)+VLOOKUP(A257,'Change in Proportion Layers'!$A$8:$Y$324,22,FALSE)</f>
        <v>-112022</v>
      </c>
      <c r="S257" s="64">
        <f>+M257+VLOOKUP(A257,'Change in Proportion Layers'!$A$8:$Y$324,5,FALSE)+VLOOKUP(A257,'Change in Proportion Layers'!$A$8:$Y$324,12,FALSE)+VLOOKUP(A257,'Change in Proportion Layers'!$A$8:$Y$324,18,FALSE)</f>
        <v>-59020</v>
      </c>
      <c r="T257" s="64">
        <f>+N257+VLOOKUP(A257,'Change in Proportion Layers'!$A$8:$Y$324,6,FALSE)+VLOOKUP(A257,'Change in Proportion Layers'!$A$8:$Y$324,13,FALSE)</f>
        <v>-89649</v>
      </c>
      <c r="U257" s="64">
        <f>+O257+VLOOKUP(A257,'Change in Proportion Layers'!$A$8:$Y$324,7,FALSE)</f>
        <v>-51460</v>
      </c>
      <c r="W257" s="64">
        <f>('OPEB Amounts_Report'!H257-'OPEB Amounts_Report'!M257)</f>
        <v>-464304</v>
      </c>
      <c r="X257" s="129">
        <f>SUM(Q257:U257)-('OPEB Amounts_Report'!H257-'OPEB Amounts_Report'!M257)</f>
        <v>0</v>
      </c>
    </row>
    <row r="258" spans="1:24">
      <c r="A258" s="184">
        <v>20265</v>
      </c>
      <c r="B258" s="185" t="s">
        <v>244</v>
      </c>
      <c r="C258" s="63">
        <f t="shared" si="5"/>
        <v>-117397</v>
      </c>
      <c r="D258" s="63">
        <f t="shared" si="5"/>
        <v>-78233</v>
      </c>
      <c r="E258" s="63">
        <f t="shared" si="5"/>
        <v>-31496</v>
      </c>
      <c r="F258" s="63">
        <f t="shared" si="5"/>
        <v>-83144</v>
      </c>
      <c r="G258" s="63">
        <f t="shared" si="5"/>
        <v>-17651</v>
      </c>
      <c r="I258" s="186"/>
      <c r="K258" s="64">
        <f>ROUND(VLOOKUP($A258,'Contribution Allocation_Report'!$A$9:$D$311,4,FALSE)*$K$326,0)</f>
        <v>-158020</v>
      </c>
      <c r="L258" s="64">
        <f>ROUND(VLOOKUP($A258,'Contribution Allocation_Report'!$A$9:$D$311,4,FALSE)*$L$326,0)</f>
        <v>-114826</v>
      </c>
      <c r="M258" s="64">
        <f>ROUND(VLOOKUP($A258,'Contribution Allocation_Report'!$A$9:$D$311,4,FALSE)*$M$326,0)</f>
        <v>-69294</v>
      </c>
      <c r="N258" s="64">
        <f>ROUND(VLOOKUP($A258,'Contribution Allocation_Report'!$A$9:$D$311,4,FALSE)*$N$326,0)</f>
        <v>-104472</v>
      </c>
      <c r="O258" s="64">
        <f>ROUND(VLOOKUP($A258,'Contribution Allocation_Report'!$A$9:$D$311,4,FALSE)*$O$326,0)</f>
        <v>-59515</v>
      </c>
      <c r="Q258" s="64">
        <f>+K258+VLOOKUP(A258,'Change in Proportion Layers'!$A$8:$N$324,3,FALSE)+VLOOKUP(A258,'Change in Proportion Layers'!$A$8:$Y$324,10,FALSE)+VLOOKUP(A258,'Change in Proportion Layers'!$A$8:$Y$324,16,FALSE)+VLOOKUP(A258,'Change in Proportion Layers'!$A$8:$Y$324,21,FALSE)+VLOOKUP(A258,'Change in Proportion Layers'!$A$8:$Y$324,25,FALSE)</f>
        <v>-117397</v>
      </c>
      <c r="R258" s="64">
        <f>+L258+VLOOKUP(A258,'Change in Proportion Layers'!$A$8:$Y$324,4,FALSE)+VLOOKUP(A258,'Change in Proportion Layers'!$A$8:$Y$324,11,FALSE)+VLOOKUP(A258,'Change in Proportion Layers'!$A$8:$Y$324,17,FALSE)+VLOOKUP(A258,'Change in Proportion Layers'!$A$8:$Y$324,22,FALSE)</f>
        <v>-78233</v>
      </c>
      <c r="S258" s="64">
        <f>+M258+VLOOKUP(A258,'Change in Proportion Layers'!$A$8:$Y$324,5,FALSE)+VLOOKUP(A258,'Change in Proportion Layers'!$A$8:$Y$324,12,FALSE)+VLOOKUP(A258,'Change in Proportion Layers'!$A$8:$Y$324,18,FALSE)</f>
        <v>-31496</v>
      </c>
      <c r="T258" s="64">
        <f>+N258+VLOOKUP(A258,'Change in Proportion Layers'!$A$8:$Y$324,6,FALSE)+VLOOKUP(A258,'Change in Proportion Layers'!$A$8:$Y$324,13,FALSE)</f>
        <v>-83144</v>
      </c>
      <c r="U258" s="64">
        <f>+O258+VLOOKUP(A258,'Change in Proportion Layers'!$A$8:$Y$324,7,FALSE)-1</f>
        <v>-17651</v>
      </c>
      <c r="W258" s="64">
        <f>('OPEB Amounts_Report'!H258-'OPEB Amounts_Report'!M258)</f>
        <v>-327921</v>
      </c>
      <c r="X258" s="129">
        <f>SUM(Q258:U258)-('OPEB Amounts_Report'!H258-'OPEB Amounts_Report'!M258)</f>
        <v>0</v>
      </c>
    </row>
    <row r="259" spans="1:24">
      <c r="A259" s="187">
        <v>20307</v>
      </c>
      <c r="B259" s="188" t="s">
        <v>245</v>
      </c>
      <c r="C259" s="5">
        <f t="shared" si="5"/>
        <v>-68986</v>
      </c>
      <c r="D259" s="5">
        <f t="shared" si="5"/>
        <v>-67159</v>
      </c>
      <c r="E259" s="5">
        <f t="shared" si="5"/>
        <v>-614</v>
      </c>
      <c r="F259" s="5">
        <f t="shared" si="5"/>
        <v>-36452</v>
      </c>
      <c r="G259" s="5">
        <f t="shared" si="5"/>
        <v>-28897</v>
      </c>
      <c r="I259" s="186"/>
      <c r="K259" s="64">
        <f>ROUND(VLOOKUP($A259,'Contribution Allocation_Report'!$A$9:$D$311,4,FALSE)*$K$326,0)</f>
        <v>-143478</v>
      </c>
      <c r="L259" s="64">
        <f>ROUND(VLOOKUP($A259,'Contribution Allocation_Report'!$A$9:$D$311,4,FALSE)*$L$326,0)</f>
        <v>-104259</v>
      </c>
      <c r="M259" s="64">
        <f>ROUND(VLOOKUP($A259,'Contribution Allocation_Report'!$A$9:$D$311,4,FALSE)*$M$326,0)</f>
        <v>-62917</v>
      </c>
      <c r="N259" s="64">
        <f>ROUND(VLOOKUP($A259,'Contribution Allocation_Report'!$A$9:$D$311,4,FALSE)*$N$326,0)</f>
        <v>-94858</v>
      </c>
      <c r="O259" s="64">
        <f>ROUND(VLOOKUP($A259,'Contribution Allocation_Report'!$A$9:$D$311,4,FALSE)*$O$326,0)</f>
        <v>-54038</v>
      </c>
      <c r="Q259" s="64">
        <f>+K259+VLOOKUP(A259,'Change in Proportion Layers'!$A$8:$N$324,3,FALSE)+VLOOKUP(A259,'Change in Proportion Layers'!$A$8:$Y$324,10,FALSE)+VLOOKUP(A259,'Change in Proportion Layers'!$A$8:$Y$324,16,FALSE)+VLOOKUP(A259,'Change in Proportion Layers'!$A$8:$Y$324,21,FALSE)+VLOOKUP(A259,'Change in Proportion Layers'!$A$8:$Y$324,25,FALSE)</f>
        <v>-68986</v>
      </c>
      <c r="R259" s="64">
        <f>+L259+VLOOKUP(A259,'Change in Proportion Layers'!$A$8:$Y$324,4,FALSE)+VLOOKUP(A259,'Change in Proportion Layers'!$A$8:$Y$324,11,FALSE)+VLOOKUP(A259,'Change in Proportion Layers'!$A$8:$Y$324,17,FALSE)+VLOOKUP(A259,'Change in Proportion Layers'!$A$8:$Y$324,22,FALSE)</f>
        <v>-67159</v>
      </c>
      <c r="S259" s="64">
        <f>+M259+VLOOKUP(A259,'Change in Proportion Layers'!$A$8:$Y$324,5,FALSE)+VLOOKUP(A259,'Change in Proportion Layers'!$A$8:$Y$324,12,FALSE)+VLOOKUP(A259,'Change in Proportion Layers'!$A$8:$Y$324,18,FALSE)</f>
        <v>-614</v>
      </c>
      <c r="T259" s="64">
        <f>+N259+VLOOKUP(A259,'Change in Proportion Layers'!$A$8:$Y$324,6,FALSE)+VLOOKUP(A259,'Change in Proportion Layers'!$A$8:$Y$324,13,FALSE)</f>
        <v>-36452</v>
      </c>
      <c r="U259" s="64">
        <f>+O259+VLOOKUP(A259,'Change in Proportion Layers'!$A$8:$Y$324,7,FALSE)+2</f>
        <v>-28897</v>
      </c>
      <c r="W259" s="64">
        <f>('OPEB Amounts_Report'!H259-'OPEB Amounts_Report'!M259)</f>
        <v>-202108</v>
      </c>
      <c r="X259" s="129">
        <f>SUM(Q259:U259)-('OPEB Amounts_Report'!H259-'OPEB Amounts_Report'!M259)</f>
        <v>0</v>
      </c>
    </row>
    <row r="260" spans="1:24">
      <c r="A260" s="184">
        <v>3320</v>
      </c>
      <c r="B260" s="185" t="s">
        <v>246</v>
      </c>
      <c r="C260" s="63">
        <f t="shared" si="5"/>
        <v>-1146387</v>
      </c>
      <c r="D260" s="63">
        <f t="shared" si="5"/>
        <v>-902812</v>
      </c>
      <c r="E260" s="63">
        <f t="shared" si="5"/>
        <v>-549666</v>
      </c>
      <c r="F260" s="63">
        <f t="shared" si="5"/>
        <v>-596420</v>
      </c>
      <c r="G260" s="63">
        <f t="shared" si="5"/>
        <v>-405209</v>
      </c>
      <c r="I260" s="186"/>
      <c r="K260" s="64">
        <f>ROUND(VLOOKUP($A260,'Contribution Allocation_Report'!$A$9:$D$311,4,FALSE)*$K$326,0)</f>
        <v>-882599</v>
      </c>
      <c r="L260" s="64">
        <f>ROUND(VLOOKUP($A260,'Contribution Allocation_Report'!$A$9:$D$311,4,FALSE)*$L$326,0)</f>
        <v>-641346</v>
      </c>
      <c r="M260" s="64">
        <f>ROUND(VLOOKUP($A260,'Contribution Allocation_Report'!$A$9:$D$311,4,FALSE)*$M$326,0)</f>
        <v>-387030</v>
      </c>
      <c r="N260" s="64">
        <f>ROUND(VLOOKUP($A260,'Contribution Allocation_Report'!$A$9:$D$311,4,FALSE)*$N$326,0)</f>
        <v>-583513</v>
      </c>
      <c r="O260" s="64">
        <f>ROUND(VLOOKUP($A260,'Contribution Allocation_Report'!$A$9:$D$311,4,FALSE)*$O$326,0)</f>
        <v>-332410</v>
      </c>
      <c r="Q260" s="64">
        <f>+K260+VLOOKUP(A260,'Change in Proportion Layers'!$A$8:$N$324,3,FALSE)+VLOOKUP(A260,'Change in Proportion Layers'!$A$8:$Y$324,10,FALSE)+VLOOKUP(A260,'Change in Proportion Layers'!$A$8:$Y$324,16,FALSE)+VLOOKUP(A260,'Change in Proportion Layers'!$A$8:$Y$324,21,FALSE)+VLOOKUP(A260,'Change in Proportion Layers'!$A$8:$Y$324,25,FALSE)</f>
        <v>-1146387</v>
      </c>
      <c r="R260" s="64">
        <f>+L260+VLOOKUP(A260,'Change in Proportion Layers'!$A$8:$Y$324,4,FALSE)+VLOOKUP(A260,'Change in Proportion Layers'!$A$8:$Y$324,11,FALSE)+VLOOKUP(A260,'Change in Proportion Layers'!$A$8:$Y$324,17,FALSE)+VLOOKUP(A260,'Change in Proportion Layers'!$A$8:$Y$324,22,FALSE)</f>
        <v>-902812</v>
      </c>
      <c r="S260" s="64">
        <f>+M260+VLOOKUP(A260,'Change in Proportion Layers'!$A$8:$Y$324,5,FALSE)+VLOOKUP(A260,'Change in Proportion Layers'!$A$8:$Y$324,12,FALSE)+VLOOKUP(A260,'Change in Proportion Layers'!$A$8:$Y$324,18,FALSE)</f>
        <v>-549666</v>
      </c>
      <c r="T260" s="64">
        <f>+N260+VLOOKUP(A260,'Change in Proportion Layers'!$A$8:$Y$324,6,FALSE)+VLOOKUP(A260,'Change in Proportion Layers'!$A$8:$Y$324,13,FALSE)</f>
        <v>-596420</v>
      </c>
      <c r="U260" s="64">
        <f>+O260+VLOOKUP(A260,'Change in Proportion Layers'!$A$8:$Y$324,7,FALSE)</f>
        <v>-405209</v>
      </c>
      <c r="W260" s="64">
        <f>('OPEB Amounts_Report'!H260-'OPEB Amounts_Report'!M260)</f>
        <v>-3600494</v>
      </c>
      <c r="X260" s="129">
        <f>SUM(Q260:U260)-('OPEB Amounts_Report'!H260-'OPEB Amounts_Report'!M260)</f>
        <v>0</v>
      </c>
    </row>
    <row r="261" spans="1:24">
      <c r="A261" s="187">
        <v>20415</v>
      </c>
      <c r="B261" s="188" t="s">
        <v>247</v>
      </c>
      <c r="C261" s="5">
        <f t="shared" si="5"/>
        <v>-62158</v>
      </c>
      <c r="D261" s="5">
        <f t="shared" si="5"/>
        <v>-38661</v>
      </c>
      <c r="E261" s="5">
        <f t="shared" si="5"/>
        <v>-29208</v>
      </c>
      <c r="F261" s="5">
        <f t="shared" si="5"/>
        <v>-32870</v>
      </c>
      <c r="G261" s="5">
        <f t="shared" si="5"/>
        <v>-11967</v>
      </c>
      <c r="I261" s="186"/>
      <c r="K261" s="64">
        <f>ROUND(VLOOKUP($A261,'Contribution Allocation_Report'!$A$9:$D$311,4,FALSE)*$K$326,0)</f>
        <v>-106994</v>
      </c>
      <c r="L261" s="64">
        <f>ROUND(VLOOKUP($A261,'Contribution Allocation_Report'!$A$9:$D$311,4,FALSE)*$L$326,0)</f>
        <v>-77748</v>
      </c>
      <c r="M261" s="64">
        <f>ROUND(VLOOKUP($A261,'Contribution Allocation_Report'!$A$9:$D$311,4,FALSE)*$M$326,0)</f>
        <v>-46918</v>
      </c>
      <c r="N261" s="64">
        <f>ROUND(VLOOKUP($A261,'Contribution Allocation_Report'!$A$9:$D$311,4,FALSE)*$N$326,0)</f>
        <v>-70737</v>
      </c>
      <c r="O261" s="64">
        <f>ROUND(VLOOKUP($A261,'Contribution Allocation_Report'!$A$9:$D$311,4,FALSE)*$O$326,0)</f>
        <v>-40297</v>
      </c>
      <c r="Q261" s="64">
        <f>+K261+VLOOKUP(A261,'Change in Proportion Layers'!$A$8:$N$324,3,FALSE)+VLOOKUP(A261,'Change in Proportion Layers'!$A$8:$Y$324,10,FALSE)+VLOOKUP(A261,'Change in Proportion Layers'!$A$8:$Y$324,16,FALSE)+VLOOKUP(A261,'Change in Proportion Layers'!$A$8:$Y$324,21,FALSE)+VLOOKUP(A261,'Change in Proportion Layers'!$A$8:$Y$324,25,FALSE)</f>
        <v>-62158</v>
      </c>
      <c r="R261" s="64">
        <f>+L261+VLOOKUP(A261,'Change in Proportion Layers'!$A$8:$Y$324,4,FALSE)+VLOOKUP(A261,'Change in Proportion Layers'!$A$8:$Y$324,11,FALSE)+VLOOKUP(A261,'Change in Proportion Layers'!$A$8:$Y$324,17,FALSE)+VLOOKUP(A261,'Change in Proportion Layers'!$A$8:$Y$324,22,FALSE)</f>
        <v>-38661</v>
      </c>
      <c r="S261" s="64">
        <f>+M261+VLOOKUP(A261,'Change in Proportion Layers'!$A$8:$Y$324,5,FALSE)+VLOOKUP(A261,'Change in Proportion Layers'!$A$8:$Y$324,12,FALSE)+VLOOKUP(A261,'Change in Proportion Layers'!$A$8:$Y$324,18,FALSE)</f>
        <v>-29208</v>
      </c>
      <c r="T261" s="64">
        <f>+N261+VLOOKUP(A261,'Change in Proportion Layers'!$A$8:$Y$324,6,FALSE)+VLOOKUP(A261,'Change in Proportion Layers'!$A$8:$Y$324,13,FALSE)</f>
        <v>-32870</v>
      </c>
      <c r="U261" s="64">
        <f>+O261+VLOOKUP(A261,'Change in Proportion Layers'!$A$8:$Y$324,7,FALSE)</f>
        <v>-11967</v>
      </c>
      <c r="W261" s="64">
        <f>('OPEB Amounts_Report'!H261-'OPEB Amounts_Report'!M261)</f>
        <v>-174864</v>
      </c>
      <c r="X261" s="129">
        <f>SUM(Q261:U261)-('OPEB Amounts_Report'!H261-'OPEB Amounts_Report'!M261)</f>
        <v>0</v>
      </c>
    </row>
    <row r="262" spans="1:24">
      <c r="A262" s="184">
        <v>20435</v>
      </c>
      <c r="B262" s="185" t="s">
        <v>435</v>
      </c>
      <c r="C262" s="63">
        <f t="shared" si="5"/>
        <v>-86197</v>
      </c>
      <c r="D262" s="63">
        <f t="shared" si="5"/>
        <v>-60311</v>
      </c>
      <c r="E262" s="63">
        <f t="shared" si="5"/>
        <v>5110</v>
      </c>
      <c r="F262" s="63">
        <f t="shared" si="5"/>
        <v>-43296</v>
      </c>
      <c r="G262" s="63">
        <f t="shared" si="5"/>
        <v>-11034</v>
      </c>
      <c r="I262" s="186"/>
      <c r="K262" s="64">
        <f>ROUND(VLOOKUP($A262,'Contribution Allocation_Report'!$A$9:$D$311,4,FALSE)*$K$326,0)</f>
        <v>-134175</v>
      </c>
      <c r="L262" s="64">
        <f>ROUND(VLOOKUP($A262,'Contribution Allocation_Report'!$A$9:$D$311,4,FALSE)*$L$326,0)</f>
        <v>-97499</v>
      </c>
      <c r="M262" s="64">
        <f>ROUND(VLOOKUP($A262,'Contribution Allocation_Report'!$A$9:$D$311,4,FALSE)*$M$326,0)</f>
        <v>-58837</v>
      </c>
      <c r="N262" s="64">
        <f>ROUND(VLOOKUP($A262,'Contribution Allocation_Report'!$A$9:$D$311,4,FALSE)*$N$326,0)</f>
        <v>-88707</v>
      </c>
      <c r="O262" s="64">
        <f>ROUND(VLOOKUP($A262,'Contribution Allocation_Report'!$A$9:$D$311,4,FALSE)*$O$326,0)</f>
        <v>-50534</v>
      </c>
      <c r="Q262" s="64">
        <f>+K262+VLOOKUP(A262,'Change in Proportion Layers'!$A$8:$N$324,3,FALSE)+VLOOKUP(A262,'Change in Proportion Layers'!$A$8:$Y$324,10,FALSE)+VLOOKUP(A262,'Change in Proportion Layers'!$A$8:$Y$324,16,FALSE)+VLOOKUP(A262,'Change in Proportion Layers'!$A$8:$Y$324,21,FALSE)+VLOOKUP(A262,'Change in Proportion Layers'!$A$8:$Y$324,25,FALSE)</f>
        <v>-86197</v>
      </c>
      <c r="R262" s="64">
        <f>+L262+VLOOKUP(A262,'Change in Proportion Layers'!$A$8:$Y$324,4,FALSE)+VLOOKUP(A262,'Change in Proportion Layers'!$A$8:$Y$324,11,FALSE)+VLOOKUP(A262,'Change in Proportion Layers'!$A$8:$Y$324,17,FALSE)+VLOOKUP(A262,'Change in Proportion Layers'!$A$8:$Y$324,22,FALSE)</f>
        <v>-60311</v>
      </c>
      <c r="S262" s="64">
        <f>+M262+VLOOKUP(A262,'Change in Proportion Layers'!$A$8:$Y$324,5,FALSE)+VLOOKUP(A262,'Change in Proportion Layers'!$A$8:$Y$324,12,FALSE)+VLOOKUP(A262,'Change in Proportion Layers'!$A$8:$Y$324,18,FALSE)</f>
        <v>5110</v>
      </c>
      <c r="T262" s="64">
        <f>+N262+VLOOKUP(A262,'Change in Proportion Layers'!$A$8:$Y$324,6,FALSE)+VLOOKUP(A262,'Change in Proportion Layers'!$A$8:$Y$324,13,FALSE)</f>
        <v>-43296</v>
      </c>
      <c r="U262" s="64">
        <f>+O262+VLOOKUP(A262,'Change in Proportion Layers'!$A$8:$Y$324,7,FALSE)+1</f>
        <v>-11034</v>
      </c>
      <c r="W262" s="64">
        <f>('OPEB Amounts_Report'!H262-'OPEB Amounts_Report'!M262)</f>
        <v>-195728</v>
      </c>
      <c r="X262" s="129">
        <f>SUM(Q262:U262)-('OPEB Amounts_Report'!H262-'OPEB Amounts_Report'!M262)</f>
        <v>0</v>
      </c>
    </row>
    <row r="263" spans="1:24">
      <c r="A263" s="187">
        <v>20062</v>
      </c>
      <c r="B263" s="188" t="s">
        <v>248</v>
      </c>
      <c r="C263" s="5">
        <f t="shared" si="5"/>
        <v>-1452888</v>
      </c>
      <c r="D263" s="5">
        <f t="shared" si="5"/>
        <v>-1014261</v>
      </c>
      <c r="E263" s="5">
        <f t="shared" si="5"/>
        <v>-639237</v>
      </c>
      <c r="F263" s="5">
        <f t="shared" si="5"/>
        <v>-951849</v>
      </c>
      <c r="G263" s="5">
        <f t="shared" si="5"/>
        <v>-644945</v>
      </c>
      <c r="I263" s="186"/>
      <c r="K263" s="64">
        <f>ROUND(VLOOKUP($A263,'Contribution Allocation_Report'!$A$9:$D$311,4,FALSE)*$K$326,0)</f>
        <v>-1371706</v>
      </c>
      <c r="L263" s="64">
        <f>ROUND(VLOOKUP($A263,'Contribution Allocation_Report'!$A$9:$D$311,4,FALSE)*$L$326,0)</f>
        <v>-996759</v>
      </c>
      <c r="M263" s="64">
        <f>ROUND(VLOOKUP($A263,'Contribution Allocation_Report'!$A$9:$D$311,4,FALSE)*$M$326,0)</f>
        <v>-601509</v>
      </c>
      <c r="N263" s="64">
        <f>ROUND(VLOOKUP($A263,'Contribution Allocation_Report'!$A$9:$D$311,4,FALSE)*$N$326,0)</f>
        <v>-906878</v>
      </c>
      <c r="O263" s="64">
        <f>ROUND(VLOOKUP($A263,'Contribution Allocation_Report'!$A$9:$D$311,4,FALSE)*$O$326,0)</f>
        <v>-516621</v>
      </c>
      <c r="Q263" s="64">
        <f>+K263+VLOOKUP(A263,'Change in Proportion Layers'!$A$8:$N$324,3,FALSE)+VLOOKUP(A263,'Change in Proportion Layers'!$A$8:$Y$324,10,FALSE)+VLOOKUP(A263,'Change in Proportion Layers'!$A$8:$Y$324,16,FALSE)+VLOOKUP(A263,'Change in Proportion Layers'!$A$8:$Y$324,21,FALSE)+VLOOKUP(A263,'Change in Proportion Layers'!$A$8:$Y$324,25,FALSE)</f>
        <v>-1452888</v>
      </c>
      <c r="R263" s="64">
        <f>+L263+VLOOKUP(A263,'Change in Proportion Layers'!$A$8:$Y$324,4,FALSE)+VLOOKUP(A263,'Change in Proportion Layers'!$A$8:$Y$324,11,FALSE)+VLOOKUP(A263,'Change in Proportion Layers'!$A$8:$Y$324,17,FALSE)+VLOOKUP(A263,'Change in Proportion Layers'!$A$8:$Y$324,22,FALSE)</f>
        <v>-1014261</v>
      </c>
      <c r="S263" s="64">
        <f>+M263+VLOOKUP(A263,'Change in Proportion Layers'!$A$8:$Y$324,5,FALSE)+VLOOKUP(A263,'Change in Proportion Layers'!$A$8:$Y$324,12,FALSE)+VLOOKUP(A263,'Change in Proportion Layers'!$A$8:$Y$324,18,FALSE)</f>
        <v>-639237</v>
      </c>
      <c r="T263" s="64">
        <f>+N263+VLOOKUP(A263,'Change in Proportion Layers'!$A$8:$Y$324,6,FALSE)+VLOOKUP(A263,'Change in Proportion Layers'!$A$8:$Y$324,13,FALSE)</f>
        <v>-951849</v>
      </c>
      <c r="U263" s="64">
        <f>+O263+VLOOKUP(A263,'Change in Proportion Layers'!$A$8:$Y$324,7,FALSE)</f>
        <v>-644945</v>
      </c>
      <c r="W263" s="64">
        <f>('OPEB Amounts_Report'!H263-'OPEB Amounts_Report'!M263)</f>
        <v>-4703180</v>
      </c>
      <c r="X263" s="129">
        <f>SUM(Q263:U263)-('OPEB Amounts_Report'!H263-'OPEB Amounts_Report'!M263)</f>
        <v>0</v>
      </c>
    </row>
    <row r="264" spans="1:24">
      <c r="A264" s="184">
        <v>6020</v>
      </c>
      <c r="B264" s="185" t="s">
        <v>249</v>
      </c>
      <c r="C264" s="63">
        <f t="shared" si="5"/>
        <v>-283170</v>
      </c>
      <c r="D264" s="63">
        <f t="shared" si="5"/>
        <v>-187051</v>
      </c>
      <c r="E264" s="63">
        <f t="shared" si="5"/>
        <v>-117484</v>
      </c>
      <c r="F264" s="63">
        <f t="shared" si="5"/>
        <v>-173775</v>
      </c>
      <c r="G264" s="63">
        <f t="shared" si="5"/>
        <v>-114350</v>
      </c>
      <c r="I264" s="186"/>
      <c r="K264" s="64">
        <f>ROUND(VLOOKUP($A264,'Contribution Allocation_Report'!$A$9:$D$311,4,FALSE)*$K$326,0)</f>
        <v>-267055</v>
      </c>
      <c r="L264" s="64">
        <f>ROUND(VLOOKUP($A264,'Contribution Allocation_Report'!$A$9:$D$311,4,FALSE)*$L$326,0)</f>
        <v>-194057</v>
      </c>
      <c r="M264" s="64">
        <f>ROUND(VLOOKUP($A264,'Contribution Allocation_Report'!$A$9:$D$311,4,FALSE)*$M$326,0)</f>
        <v>-117107</v>
      </c>
      <c r="N264" s="64">
        <f>ROUND(VLOOKUP($A264,'Contribution Allocation_Report'!$A$9:$D$311,4,FALSE)*$N$326,0)</f>
        <v>-176559</v>
      </c>
      <c r="O264" s="64">
        <f>ROUND(VLOOKUP($A264,'Contribution Allocation_Report'!$A$9:$D$311,4,FALSE)*$O$326,0)</f>
        <v>-100580</v>
      </c>
      <c r="Q264" s="64">
        <f>+K264+VLOOKUP(A264,'Change in Proportion Layers'!$A$8:$N$324,3,FALSE)+VLOOKUP(A264,'Change in Proportion Layers'!$A$8:$Y$324,10,FALSE)+VLOOKUP(A264,'Change in Proportion Layers'!$A$8:$Y$324,16,FALSE)+VLOOKUP(A264,'Change in Proportion Layers'!$A$8:$Y$324,21,FALSE)+VLOOKUP(A264,'Change in Proportion Layers'!$A$8:$Y$324,25,FALSE)</f>
        <v>-283170</v>
      </c>
      <c r="R264" s="64">
        <f>+L264+VLOOKUP(A264,'Change in Proportion Layers'!$A$8:$Y$324,4,FALSE)+VLOOKUP(A264,'Change in Proportion Layers'!$A$8:$Y$324,11,FALSE)+VLOOKUP(A264,'Change in Proportion Layers'!$A$8:$Y$324,17,FALSE)+VLOOKUP(A264,'Change in Proportion Layers'!$A$8:$Y$324,22,FALSE)</f>
        <v>-187051</v>
      </c>
      <c r="S264" s="64">
        <f>+M264+VLOOKUP(A264,'Change in Proportion Layers'!$A$8:$Y$324,5,FALSE)+VLOOKUP(A264,'Change in Proportion Layers'!$A$8:$Y$324,12,FALSE)+VLOOKUP(A264,'Change in Proportion Layers'!$A$8:$Y$324,18,FALSE)</f>
        <v>-117484</v>
      </c>
      <c r="T264" s="64">
        <f>+N264+VLOOKUP(A264,'Change in Proportion Layers'!$A$8:$Y$324,6,FALSE)+VLOOKUP(A264,'Change in Proportion Layers'!$A$8:$Y$324,13,FALSE)</f>
        <v>-173775</v>
      </c>
      <c r="U264" s="64">
        <f>+O264+VLOOKUP(A264,'Change in Proportion Layers'!$A$8:$Y$324,7,FALSE)-1</f>
        <v>-114350</v>
      </c>
      <c r="W264" s="64">
        <f>('OPEB Amounts_Report'!H264-'OPEB Amounts_Report'!M264)</f>
        <v>-875830</v>
      </c>
      <c r="X264" s="129">
        <f>SUM(Q264:U264)-('OPEB Amounts_Report'!H264-'OPEB Amounts_Report'!M264)</f>
        <v>0</v>
      </c>
    </row>
    <row r="265" spans="1:24">
      <c r="A265" s="187">
        <v>2394</v>
      </c>
      <c r="B265" s="188" t="s">
        <v>250</v>
      </c>
      <c r="C265" s="5">
        <f t="shared" si="5"/>
        <v>-40664</v>
      </c>
      <c r="D265" s="5">
        <f t="shared" si="5"/>
        <v>-67683</v>
      </c>
      <c r="E265" s="5">
        <f t="shared" si="5"/>
        <v>-34301</v>
      </c>
      <c r="F265" s="5">
        <f t="shared" si="5"/>
        <v>-74089</v>
      </c>
      <c r="G265" s="5">
        <f t="shared" si="5"/>
        <v>-39451</v>
      </c>
      <c r="I265" s="186"/>
      <c r="K265" s="64">
        <f>ROUND(VLOOKUP($A265,'Contribution Allocation_Report'!$A$9:$D$311,4,FALSE)*$K$326,0)</f>
        <v>-159447</v>
      </c>
      <c r="L265" s="64">
        <f>ROUND(VLOOKUP($A265,'Contribution Allocation_Report'!$A$9:$D$311,4,FALSE)*$L$326,0)</f>
        <v>-115863</v>
      </c>
      <c r="M265" s="64">
        <f>ROUND(VLOOKUP($A265,'Contribution Allocation_Report'!$A$9:$D$311,4,FALSE)*$M$326,0)</f>
        <v>-69919</v>
      </c>
      <c r="N265" s="64">
        <f>ROUND(VLOOKUP($A265,'Contribution Allocation_Report'!$A$9:$D$311,4,FALSE)*$N$326,0)</f>
        <v>-105415</v>
      </c>
      <c r="O265" s="64">
        <f>ROUND(VLOOKUP($A265,'Contribution Allocation_Report'!$A$9:$D$311,4,FALSE)*$O$326,0)</f>
        <v>-60052</v>
      </c>
      <c r="Q265" s="64">
        <f>+K265+VLOOKUP(A265,'Change in Proportion Layers'!$A$8:$N$324,3,FALSE)+VLOOKUP(A265,'Change in Proportion Layers'!$A$8:$Y$324,10,FALSE)+VLOOKUP(A265,'Change in Proportion Layers'!$A$8:$Y$324,16,FALSE)+VLOOKUP(A265,'Change in Proportion Layers'!$A$8:$Y$324,21,FALSE)+VLOOKUP(A265,'Change in Proportion Layers'!$A$8:$Y$324,25,FALSE)</f>
        <v>-40664</v>
      </c>
      <c r="R265" s="64">
        <f>+L265+VLOOKUP(A265,'Change in Proportion Layers'!$A$8:$Y$324,4,FALSE)+VLOOKUP(A265,'Change in Proportion Layers'!$A$8:$Y$324,11,FALSE)+VLOOKUP(A265,'Change in Proportion Layers'!$A$8:$Y$324,17,FALSE)+VLOOKUP(A265,'Change in Proportion Layers'!$A$8:$Y$324,22,FALSE)</f>
        <v>-67683</v>
      </c>
      <c r="S265" s="64">
        <f>+M265+VLOOKUP(A265,'Change in Proportion Layers'!$A$8:$Y$324,5,FALSE)+VLOOKUP(A265,'Change in Proportion Layers'!$A$8:$Y$324,12,FALSE)+VLOOKUP(A265,'Change in Proportion Layers'!$A$8:$Y$324,18,FALSE)</f>
        <v>-34301</v>
      </c>
      <c r="T265" s="64">
        <f>+N265+VLOOKUP(A265,'Change in Proportion Layers'!$A$8:$Y$324,6,FALSE)+VLOOKUP(A265,'Change in Proportion Layers'!$A$8:$Y$324,13,FALSE)</f>
        <v>-74089</v>
      </c>
      <c r="U265" s="64">
        <f>+O265+VLOOKUP(A265,'Change in Proportion Layers'!$A$8:$Y$324,7,FALSE)-1</f>
        <v>-39451</v>
      </c>
      <c r="W265" s="64">
        <f>('OPEB Amounts_Report'!H265-'OPEB Amounts_Report'!M265)</f>
        <v>-256188</v>
      </c>
      <c r="X265" s="129">
        <f>SUM(Q265:U265)-('OPEB Amounts_Report'!H265-'OPEB Amounts_Report'!M265)</f>
        <v>0</v>
      </c>
    </row>
    <row r="266" spans="1:24">
      <c r="A266" s="184">
        <v>5015</v>
      </c>
      <c r="B266" s="185" t="s">
        <v>251</v>
      </c>
      <c r="C266" s="63">
        <f t="shared" si="5"/>
        <v>-381533</v>
      </c>
      <c r="D266" s="63">
        <f t="shared" si="5"/>
        <v>-251108</v>
      </c>
      <c r="E266" s="63">
        <f t="shared" si="5"/>
        <v>-147706</v>
      </c>
      <c r="F266" s="63">
        <f t="shared" si="5"/>
        <v>-245814</v>
      </c>
      <c r="G266" s="63">
        <f t="shared" si="5"/>
        <v>-156570</v>
      </c>
      <c r="I266" s="186"/>
      <c r="K266" s="64">
        <f>ROUND(VLOOKUP($A266,'Contribution Allocation_Report'!$A$9:$D$311,4,FALSE)*$K$326,0)</f>
        <v>-385775</v>
      </c>
      <c r="L266" s="64">
        <f>ROUND(VLOOKUP($A266,'Contribution Allocation_Report'!$A$9:$D$311,4,FALSE)*$L$326,0)</f>
        <v>-280326</v>
      </c>
      <c r="M266" s="64">
        <f>ROUND(VLOOKUP($A266,'Contribution Allocation_Report'!$A$9:$D$311,4,FALSE)*$M$326,0)</f>
        <v>-169167</v>
      </c>
      <c r="N266" s="64">
        <f>ROUND(VLOOKUP($A266,'Contribution Allocation_Report'!$A$9:$D$311,4,FALSE)*$N$326,0)</f>
        <v>-255048</v>
      </c>
      <c r="O266" s="64">
        <f>ROUND(VLOOKUP($A266,'Contribution Allocation_Report'!$A$9:$D$311,4,FALSE)*$O$326,0)</f>
        <v>-145293</v>
      </c>
      <c r="Q266" s="64">
        <f>+K266+VLOOKUP(A266,'Change in Proportion Layers'!$A$8:$N$324,3,FALSE)+VLOOKUP(A266,'Change in Proportion Layers'!$A$8:$Y$324,10,FALSE)+VLOOKUP(A266,'Change in Proportion Layers'!$A$8:$Y$324,16,FALSE)+VLOOKUP(A266,'Change in Proportion Layers'!$A$8:$Y$324,21,FALSE)+VLOOKUP(A266,'Change in Proportion Layers'!$A$8:$Y$324,25,FALSE)</f>
        <v>-381533</v>
      </c>
      <c r="R266" s="64">
        <f>+L266+VLOOKUP(A266,'Change in Proportion Layers'!$A$8:$Y$324,4,FALSE)+VLOOKUP(A266,'Change in Proportion Layers'!$A$8:$Y$324,11,FALSE)+VLOOKUP(A266,'Change in Proportion Layers'!$A$8:$Y$324,17,FALSE)+VLOOKUP(A266,'Change in Proportion Layers'!$A$8:$Y$324,22,FALSE)</f>
        <v>-251108</v>
      </c>
      <c r="S266" s="64">
        <f>+M266+VLOOKUP(A266,'Change in Proportion Layers'!$A$8:$Y$324,5,FALSE)+VLOOKUP(A266,'Change in Proportion Layers'!$A$8:$Y$324,12,FALSE)+VLOOKUP(A266,'Change in Proportion Layers'!$A$8:$Y$324,18,FALSE)</f>
        <v>-147706</v>
      </c>
      <c r="T266" s="64">
        <f>+N266+VLOOKUP(A266,'Change in Proportion Layers'!$A$8:$Y$324,6,FALSE)+VLOOKUP(A266,'Change in Proportion Layers'!$A$8:$Y$324,13,FALSE)</f>
        <v>-245814</v>
      </c>
      <c r="U266" s="64">
        <f>+O266+VLOOKUP(A266,'Change in Proportion Layers'!$A$8:$Y$324,7,FALSE)+1</f>
        <v>-156570</v>
      </c>
      <c r="W266" s="64">
        <f>('OPEB Amounts_Report'!H266-'OPEB Amounts_Report'!M266)</f>
        <v>-1182731</v>
      </c>
      <c r="X266" s="129">
        <f>SUM(Q266:U266)-('OPEB Amounts_Report'!H266-'OPEB Amounts_Report'!M266)</f>
        <v>0</v>
      </c>
    </row>
    <row r="267" spans="1:24">
      <c r="A267" s="187">
        <v>29408</v>
      </c>
      <c r="B267" s="188" t="s">
        <v>252</v>
      </c>
      <c r="C267" s="5">
        <f t="shared" si="5"/>
        <v>-174591</v>
      </c>
      <c r="D267" s="5">
        <f t="shared" si="5"/>
        <v>-122714</v>
      </c>
      <c r="E267" s="5">
        <f t="shared" si="5"/>
        <v>-64219</v>
      </c>
      <c r="F267" s="5">
        <f t="shared" si="5"/>
        <v>-145374</v>
      </c>
      <c r="G267" s="5">
        <f t="shared" si="5"/>
        <v>-111514</v>
      </c>
      <c r="I267" s="186"/>
      <c r="K267" s="64">
        <f>ROUND(VLOOKUP($A267,'Contribution Allocation_Report'!$A$9:$D$311,4,FALSE)*$K$326,0)</f>
        <v>-249802</v>
      </c>
      <c r="L267" s="64">
        <f>ROUND(VLOOKUP($A267,'Contribution Allocation_Report'!$A$9:$D$311,4,FALSE)*$L$326,0)</f>
        <v>-181520</v>
      </c>
      <c r="M267" s="64">
        <f>ROUND(VLOOKUP($A267,'Contribution Allocation_Report'!$A$9:$D$311,4,FALSE)*$M$326,0)</f>
        <v>-109541</v>
      </c>
      <c r="N267" s="64">
        <f>ROUND(VLOOKUP($A267,'Contribution Allocation_Report'!$A$9:$D$311,4,FALSE)*$N$326,0)</f>
        <v>-165152</v>
      </c>
      <c r="O267" s="64">
        <f>ROUND(VLOOKUP($A267,'Contribution Allocation_Report'!$A$9:$D$311,4,FALSE)*$O$326,0)</f>
        <v>-94082</v>
      </c>
      <c r="Q267" s="64">
        <f>+K267+VLOOKUP(A267,'Change in Proportion Layers'!$A$8:$N$324,3,FALSE)+VLOOKUP(A267,'Change in Proportion Layers'!$A$8:$Y$324,10,FALSE)+VLOOKUP(A267,'Change in Proportion Layers'!$A$8:$Y$324,16,FALSE)+VLOOKUP(A267,'Change in Proportion Layers'!$A$8:$Y$324,21,FALSE)+VLOOKUP(A267,'Change in Proportion Layers'!$A$8:$Y$324,25,FALSE)</f>
        <v>-174591</v>
      </c>
      <c r="R267" s="64">
        <f>+L267+VLOOKUP(A267,'Change in Proportion Layers'!$A$8:$Y$324,4,FALSE)+VLOOKUP(A267,'Change in Proportion Layers'!$A$8:$Y$324,11,FALSE)+VLOOKUP(A267,'Change in Proportion Layers'!$A$8:$Y$324,17,FALSE)+VLOOKUP(A267,'Change in Proportion Layers'!$A$8:$Y$324,22,FALSE)</f>
        <v>-122714</v>
      </c>
      <c r="S267" s="64">
        <f>+M267+VLOOKUP(A267,'Change in Proportion Layers'!$A$8:$Y$324,5,FALSE)+VLOOKUP(A267,'Change in Proportion Layers'!$A$8:$Y$324,12,FALSE)+VLOOKUP(A267,'Change in Proportion Layers'!$A$8:$Y$324,18,FALSE)</f>
        <v>-64219</v>
      </c>
      <c r="T267" s="64">
        <f>+N267+VLOOKUP(A267,'Change in Proportion Layers'!$A$8:$Y$324,6,FALSE)+VLOOKUP(A267,'Change in Proportion Layers'!$A$8:$Y$324,13,FALSE)</f>
        <v>-145374</v>
      </c>
      <c r="U267" s="64">
        <f>+O267+VLOOKUP(A267,'Change in Proportion Layers'!$A$8:$Y$324,7,FALSE)</f>
        <v>-111514</v>
      </c>
      <c r="W267" s="64">
        <f>('OPEB Amounts_Report'!H267-'OPEB Amounts_Report'!M267)</f>
        <v>-618412</v>
      </c>
      <c r="X267" s="129">
        <f>SUM(Q267:U267)-('OPEB Amounts_Report'!H267-'OPEB Amounts_Report'!M267)</f>
        <v>0</v>
      </c>
    </row>
    <row r="268" spans="1:24">
      <c r="A268" s="184">
        <v>2413</v>
      </c>
      <c r="B268" s="185" t="s">
        <v>253</v>
      </c>
      <c r="C268" s="63">
        <f t="shared" si="5"/>
        <v>-137171</v>
      </c>
      <c r="D268" s="63">
        <f t="shared" si="5"/>
        <v>-89364</v>
      </c>
      <c r="E268" s="63">
        <f t="shared" si="5"/>
        <v>-70715</v>
      </c>
      <c r="F268" s="63">
        <f t="shared" si="5"/>
        <v>-81755</v>
      </c>
      <c r="G268" s="63">
        <f t="shared" si="5"/>
        <v>-39329</v>
      </c>
      <c r="I268" s="186"/>
      <c r="K268" s="64">
        <f>ROUND(VLOOKUP($A268,'Contribution Allocation_Report'!$A$9:$D$311,4,FALSE)*$K$326,0)</f>
        <v>-54132</v>
      </c>
      <c r="L268" s="64">
        <f>ROUND(VLOOKUP($A268,'Contribution Allocation_Report'!$A$9:$D$311,4,FALSE)*$L$326,0)</f>
        <v>-39336</v>
      </c>
      <c r="M268" s="64">
        <f>ROUND(VLOOKUP($A268,'Contribution Allocation_Report'!$A$9:$D$311,4,FALSE)*$M$326,0)</f>
        <v>-23738</v>
      </c>
      <c r="N268" s="64">
        <f>ROUND(VLOOKUP($A268,'Contribution Allocation_Report'!$A$9:$D$311,4,FALSE)*$N$326,0)</f>
        <v>-35789</v>
      </c>
      <c r="O268" s="64">
        <f>ROUND(VLOOKUP($A268,'Contribution Allocation_Report'!$A$9:$D$311,4,FALSE)*$O$326,0)</f>
        <v>-20388</v>
      </c>
      <c r="Q268" s="64">
        <f>+K268+VLOOKUP(A268,'Change in Proportion Layers'!$A$8:$N$324,3,FALSE)+VLOOKUP(A268,'Change in Proportion Layers'!$A$8:$Y$324,10,FALSE)+VLOOKUP(A268,'Change in Proportion Layers'!$A$8:$Y$324,16,FALSE)+VLOOKUP(A268,'Change in Proportion Layers'!$A$8:$Y$324,21,FALSE)+VLOOKUP(A268,'Change in Proportion Layers'!$A$8:$Y$324,25,FALSE)</f>
        <v>-137171</v>
      </c>
      <c r="R268" s="64">
        <f>+L268+VLOOKUP(A268,'Change in Proportion Layers'!$A$8:$Y$324,4,FALSE)+VLOOKUP(A268,'Change in Proportion Layers'!$A$8:$Y$324,11,FALSE)+VLOOKUP(A268,'Change in Proportion Layers'!$A$8:$Y$324,17,FALSE)+VLOOKUP(A268,'Change in Proportion Layers'!$A$8:$Y$324,22,FALSE)</f>
        <v>-89364</v>
      </c>
      <c r="S268" s="64">
        <f>+M268+VLOOKUP(A268,'Change in Proportion Layers'!$A$8:$Y$324,5,FALSE)+VLOOKUP(A268,'Change in Proportion Layers'!$A$8:$Y$324,12,FALSE)+VLOOKUP(A268,'Change in Proportion Layers'!$A$8:$Y$324,18,FALSE)</f>
        <v>-70715</v>
      </c>
      <c r="T268" s="64">
        <f>+N268+VLOOKUP(A268,'Change in Proportion Layers'!$A$8:$Y$324,6,FALSE)+VLOOKUP(A268,'Change in Proportion Layers'!$A$8:$Y$324,13,FALSE)</f>
        <v>-81755</v>
      </c>
      <c r="U268" s="64">
        <f>+O268+VLOOKUP(A268,'Change in Proportion Layers'!$A$8:$Y$324,7,FALSE)+2</f>
        <v>-39329</v>
      </c>
      <c r="W268" s="64">
        <f>('OPEB Amounts_Report'!H268-'OPEB Amounts_Report'!M268)</f>
        <v>-418334</v>
      </c>
      <c r="X268" s="129">
        <f>SUM(Q268:U268)-('OPEB Amounts_Report'!H268-'OPEB Amounts_Report'!M268)</f>
        <v>0</v>
      </c>
    </row>
    <row r="269" spans="1:24">
      <c r="A269" s="187">
        <v>1398</v>
      </c>
      <c r="B269" s="188" t="s">
        <v>254</v>
      </c>
      <c r="C269" s="5">
        <f t="shared" si="5"/>
        <v>-104781</v>
      </c>
      <c r="D269" s="5">
        <f t="shared" si="5"/>
        <v>-88187</v>
      </c>
      <c r="E269" s="5">
        <f t="shared" si="5"/>
        <v>-66206</v>
      </c>
      <c r="F269" s="5">
        <f t="shared" si="5"/>
        <v>-105982</v>
      </c>
      <c r="G269" s="5">
        <f t="shared" si="5"/>
        <v>-67210</v>
      </c>
      <c r="I269" s="186"/>
      <c r="K269" s="64">
        <f>ROUND(VLOOKUP($A269,'Contribution Allocation_Report'!$A$9:$D$311,4,FALSE)*$K$326,0)</f>
        <v>-101012</v>
      </c>
      <c r="L269" s="64">
        <f>ROUND(VLOOKUP($A269,'Contribution Allocation_Report'!$A$9:$D$311,4,FALSE)*$L$326,0)</f>
        <v>-73401</v>
      </c>
      <c r="M269" s="64">
        <f>ROUND(VLOOKUP($A269,'Contribution Allocation_Report'!$A$9:$D$311,4,FALSE)*$M$326,0)</f>
        <v>-44295</v>
      </c>
      <c r="N269" s="64">
        <f>ROUND(VLOOKUP($A269,'Contribution Allocation_Report'!$A$9:$D$311,4,FALSE)*$N$326,0)</f>
        <v>-66782</v>
      </c>
      <c r="O269" s="64">
        <f>ROUND(VLOOKUP($A269,'Contribution Allocation_Report'!$A$9:$D$311,4,FALSE)*$O$326,0)</f>
        <v>-38044</v>
      </c>
      <c r="Q269" s="64">
        <f>+K269+VLOOKUP(A269,'Change in Proportion Layers'!$A$8:$N$324,3,FALSE)+VLOOKUP(A269,'Change in Proportion Layers'!$A$8:$Y$324,10,FALSE)+VLOOKUP(A269,'Change in Proportion Layers'!$A$8:$Y$324,16,FALSE)+VLOOKUP(A269,'Change in Proportion Layers'!$A$8:$Y$324,21,FALSE)+VLOOKUP(A269,'Change in Proportion Layers'!$A$8:$Y$324,25,FALSE)</f>
        <v>-104781</v>
      </c>
      <c r="R269" s="64">
        <f>+L269+VLOOKUP(A269,'Change in Proportion Layers'!$A$8:$Y$324,4,FALSE)+VLOOKUP(A269,'Change in Proportion Layers'!$A$8:$Y$324,11,FALSE)+VLOOKUP(A269,'Change in Proportion Layers'!$A$8:$Y$324,17,FALSE)+VLOOKUP(A269,'Change in Proportion Layers'!$A$8:$Y$324,22,FALSE)</f>
        <v>-88187</v>
      </c>
      <c r="S269" s="64">
        <f>+M269+VLOOKUP(A269,'Change in Proportion Layers'!$A$8:$Y$324,5,FALSE)+VLOOKUP(A269,'Change in Proportion Layers'!$A$8:$Y$324,12,FALSE)+VLOOKUP(A269,'Change in Proportion Layers'!$A$8:$Y$324,18,FALSE)</f>
        <v>-66206</v>
      </c>
      <c r="T269" s="64">
        <f>+N269+VLOOKUP(A269,'Change in Proportion Layers'!$A$8:$Y$324,6,FALSE)+VLOOKUP(A269,'Change in Proportion Layers'!$A$8:$Y$324,13,FALSE)</f>
        <v>-105982</v>
      </c>
      <c r="U269" s="64">
        <f>+O269+VLOOKUP(A269,'Change in Proportion Layers'!$A$8:$Y$324,7,FALSE)+1</f>
        <v>-67210</v>
      </c>
      <c r="W269" s="64">
        <f>('OPEB Amounts_Report'!H269-'OPEB Amounts_Report'!M269)</f>
        <v>-432366</v>
      </c>
      <c r="X269" s="129">
        <f>SUM(Q269:U269)-('OPEB Amounts_Report'!H269-'OPEB Amounts_Report'!M269)</f>
        <v>0</v>
      </c>
    </row>
    <row r="270" spans="1:24">
      <c r="A270" s="184">
        <v>2366</v>
      </c>
      <c r="B270" s="185" t="s">
        <v>255</v>
      </c>
      <c r="C270" s="63">
        <f t="shared" si="5"/>
        <v>-166600</v>
      </c>
      <c r="D270" s="63">
        <f t="shared" si="5"/>
        <v>-122772</v>
      </c>
      <c r="E270" s="63">
        <f t="shared" si="5"/>
        <v>-86745</v>
      </c>
      <c r="F270" s="63">
        <f t="shared" si="5"/>
        <v>-95880</v>
      </c>
      <c r="G270" s="63">
        <f t="shared" si="5"/>
        <v>-68072</v>
      </c>
      <c r="I270" s="186"/>
      <c r="K270" s="64">
        <f>ROUND(VLOOKUP($A270,'Contribution Allocation_Report'!$A$9:$D$311,4,FALSE)*$K$326,0)</f>
        <v>-108870</v>
      </c>
      <c r="L270" s="64">
        <f>ROUND(VLOOKUP($A270,'Contribution Allocation_Report'!$A$9:$D$311,4,FALSE)*$L$326,0)</f>
        <v>-79111</v>
      </c>
      <c r="M270" s="64">
        <f>ROUND(VLOOKUP($A270,'Contribution Allocation_Report'!$A$9:$D$311,4,FALSE)*$M$326,0)</f>
        <v>-47741</v>
      </c>
      <c r="N270" s="64">
        <f>ROUND(VLOOKUP($A270,'Contribution Allocation_Report'!$A$9:$D$311,4,FALSE)*$N$326,0)</f>
        <v>-71977</v>
      </c>
      <c r="O270" s="64">
        <f>ROUND(VLOOKUP($A270,'Contribution Allocation_Report'!$A$9:$D$311,4,FALSE)*$O$326,0)</f>
        <v>-41003</v>
      </c>
      <c r="Q270" s="64">
        <f>+K270+VLOOKUP(A270,'Change in Proportion Layers'!$A$8:$N$324,3,FALSE)+VLOOKUP(A270,'Change in Proportion Layers'!$A$8:$Y$324,10,FALSE)+VLOOKUP(A270,'Change in Proportion Layers'!$A$8:$Y$324,16,FALSE)+VLOOKUP(A270,'Change in Proportion Layers'!$A$8:$Y$324,21,FALSE)+VLOOKUP(A270,'Change in Proportion Layers'!$A$8:$Y$324,25,FALSE)</f>
        <v>-166600</v>
      </c>
      <c r="R270" s="64">
        <f>+L270+VLOOKUP(A270,'Change in Proportion Layers'!$A$8:$Y$324,4,FALSE)+VLOOKUP(A270,'Change in Proportion Layers'!$A$8:$Y$324,11,FALSE)+VLOOKUP(A270,'Change in Proportion Layers'!$A$8:$Y$324,17,FALSE)+VLOOKUP(A270,'Change in Proportion Layers'!$A$8:$Y$324,22,FALSE)</f>
        <v>-122772</v>
      </c>
      <c r="S270" s="64">
        <f>+M270+VLOOKUP(A270,'Change in Proportion Layers'!$A$8:$Y$324,5,FALSE)+VLOOKUP(A270,'Change in Proportion Layers'!$A$8:$Y$324,12,FALSE)+VLOOKUP(A270,'Change in Proportion Layers'!$A$8:$Y$324,18,FALSE)</f>
        <v>-86745</v>
      </c>
      <c r="T270" s="64">
        <f>+N270+VLOOKUP(A270,'Change in Proportion Layers'!$A$8:$Y$324,6,FALSE)+VLOOKUP(A270,'Change in Proportion Layers'!$A$8:$Y$324,13,FALSE)</f>
        <v>-95880</v>
      </c>
      <c r="U270" s="64">
        <f>+O270+VLOOKUP(A270,'Change in Proportion Layers'!$A$8:$Y$324,7,FALSE)-2</f>
        <v>-68072</v>
      </c>
      <c r="W270" s="64">
        <f>('OPEB Amounts_Report'!H270-'OPEB Amounts_Report'!M270)</f>
        <v>-540069</v>
      </c>
      <c r="X270" s="129">
        <f>SUM(Q270:U270)-('OPEB Amounts_Report'!H270-'OPEB Amounts_Report'!M270)</f>
        <v>0</v>
      </c>
    </row>
    <row r="271" spans="1:24">
      <c r="A271" s="187">
        <v>7421</v>
      </c>
      <c r="B271" s="188" t="s">
        <v>256</v>
      </c>
      <c r="C271" s="5">
        <f t="shared" si="5"/>
        <v>-144243</v>
      </c>
      <c r="D271" s="5">
        <f t="shared" si="5"/>
        <v>-95922</v>
      </c>
      <c r="E271" s="5">
        <f t="shared" si="5"/>
        <v>-76625</v>
      </c>
      <c r="F271" s="5">
        <f t="shared" si="5"/>
        <v>-51778</v>
      </c>
      <c r="G271" s="5">
        <f t="shared" si="5"/>
        <v>-25694</v>
      </c>
      <c r="I271" s="186"/>
      <c r="K271" s="64">
        <f>ROUND(VLOOKUP($A271,'Contribution Allocation_Report'!$A$9:$D$311,4,FALSE)*$K$326,0)</f>
        <v>-109599</v>
      </c>
      <c r="L271" s="64">
        <f>ROUND(VLOOKUP($A271,'Contribution Allocation_Report'!$A$9:$D$311,4,FALSE)*$L$326,0)</f>
        <v>-79641</v>
      </c>
      <c r="M271" s="64">
        <f>ROUND(VLOOKUP($A271,'Contribution Allocation_Report'!$A$9:$D$311,4,FALSE)*$M$326,0)</f>
        <v>-48061</v>
      </c>
      <c r="N271" s="64">
        <f>ROUND(VLOOKUP($A271,'Contribution Allocation_Report'!$A$9:$D$311,4,FALSE)*$N$326,0)</f>
        <v>-72460</v>
      </c>
      <c r="O271" s="64">
        <f>ROUND(VLOOKUP($A271,'Contribution Allocation_Report'!$A$9:$D$311,4,FALSE)*$O$326,0)</f>
        <v>-41278</v>
      </c>
      <c r="Q271" s="64">
        <f>+K271+VLOOKUP(A271,'Change in Proportion Layers'!$A$8:$N$324,3,FALSE)+VLOOKUP(A271,'Change in Proportion Layers'!$A$8:$Y$324,10,FALSE)+VLOOKUP(A271,'Change in Proportion Layers'!$A$8:$Y$324,16,FALSE)+VLOOKUP(A271,'Change in Proportion Layers'!$A$8:$Y$324,21,FALSE)+VLOOKUP(A271,'Change in Proportion Layers'!$A$8:$Y$324,25,FALSE)</f>
        <v>-144243</v>
      </c>
      <c r="R271" s="64">
        <f>+L271+VLOOKUP(A271,'Change in Proportion Layers'!$A$8:$Y$324,4,FALSE)+VLOOKUP(A271,'Change in Proportion Layers'!$A$8:$Y$324,11,FALSE)+VLOOKUP(A271,'Change in Proportion Layers'!$A$8:$Y$324,17,FALSE)+VLOOKUP(A271,'Change in Proportion Layers'!$A$8:$Y$324,22,FALSE)</f>
        <v>-95922</v>
      </c>
      <c r="S271" s="64">
        <f>+M271+VLOOKUP(A271,'Change in Proportion Layers'!$A$8:$Y$324,5,FALSE)+VLOOKUP(A271,'Change in Proportion Layers'!$A$8:$Y$324,12,FALSE)+VLOOKUP(A271,'Change in Proportion Layers'!$A$8:$Y$324,18,FALSE)</f>
        <v>-76625</v>
      </c>
      <c r="T271" s="64">
        <f>+N271+VLOOKUP(A271,'Change in Proportion Layers'!$A$8:$Y$324,6,FALSE)+VLOOKUP(A271,'Change in Proportion Layers'!$A$8:$Y$324,13,FALSE)-1</f>
        <v>-51778</v>
      </c>
      <c r="U271" s="64">
        <f>+O271+VLOOKUP(A271,'Change in Proportion Layers'!$A$8:$Y$324,7,FALSE)</f>
        <v>-25694</v>
      </c>
      <c r="W271" s="64">
        <f>('OPEB Amounts_Report'!H271-'OPEB Amounts_Report'!M271)</f>
        <v>-394262</v>
      </c>
      <c r="X271" s="129">
        <f>SUM(Q271:U271)-('OPEB Amounts_Report'!H271-'OPEB Amounts_Report'!M271)</f>
        <v>0</v>
      </c>
    </row>
    <row r="272" spans="1:24">
      <c r="A272" s="184">
        <v>1425</v>
      </c>
      <c r="B272" s="185" t="s">
        <v>555</v>
      </c>
      <c r="C272" s="63">
        <f t="shared" si="5"/>
        <v>3345</v>
      </c>
      <c r="D272" s="63">
        <f t="shared" si="5"/>
        <v>4869</v>
      </c>
      <c r="E272" s="63">
        <f t="shared" si="5"/>
        <v>6475</v>
      </c>
      <c r="F272" s="63">
        <f t="shared" si="5"/>
        <v>5233</v>
      </c>
      <c r="G272" s="63">
        <f t="shared" si="5"/>
        <v>5837</v>
      </c>
      <c r="I272" s="186"/>
      <c r="K272" s="64">
        <f>ROUND(VLOOKUP($A272,'Contribution Allocation_Report'!$A$9:$D$311,4,FALSE)*$K$326,0)</f>
        <v>-5574</v>
      </c>
      <c r="L272" s="64">
        <f>ROUND(VLOOKUP($A272,'Contribution Allocation_Report'!$A$9:$D$311,4,FALSE)*$L$326,0)</f>
        <v>-4050</v>
      </c>
      <c r="M272" s="64">
        <f>ROUND(VLOOKUP($A272,'Contribution Allocation_Report'!$A$9:$D$311,4,FALSE)*$M$326,0)</f>
        <v>-2444</v>
      </c>
      <c r="N272" s="64">
        <f>ROUND(VLOOKUP($A272,'Contribution Allocation_Report'!$A$9:$D$311,4,FALSE)*$N$326,0)</f>
        <v>-3685</v>
      </c>
      <c r="O272" s="64">
        <f>ROUND(VLOOKUP($A272,'Contribution Allocation_Report'!$A$9:$D$311,4,FALSE)*$O$326,0)</f>
        <v>-2099</v>
      </c>
      <c r="Q272" s="64">
        <f>+K272+VLOOKUP(A272,'Change in Proportion Layers'!$A$8:$N$324,3,FALSE)+VLOOKUP(A272,'Change in Proportion Layers'!$A$8:$Y$324,10,FALSE)+VLOOKUP(A272,'Change in Proportion Layers'!$A$8:$Y$324,16,FALSE)+VLOOKUP(A272,'Change in Proportion Layers'!$A$8:$Y$324,21,FALSE)+VLOOKUP(A272,'Change in Proportion Layers'!$A$8:$Y$324,25,FALSE)</f>
        <v>3345</v>
      </c>
      <c r="R272" s="64">
        <f>+L272+VLOOKUP(A272,'Change in Proportion Layers'!$A$8:$Y$324,4,FALSE)+VLOOKUP(A272,'Change in Proportion Layers'!$A$8:$Y$324,11,FALSE)+VLOOKUP(A272,'Change in Proportion Layers'!$A$8:$Y$324,17,FALSE)+VLOOKUP(A272,'Change in Proportion Layers'!$A$8:$Y$324,22,FALSE)</f>
        <v>4869</v>
      </c>
      <c r="S272" s="64">
        <f>+M272+VLOOKUP(A272,'Change in Proportion Layers'!$A$8:$Y$324,5,FALSE)+VLOOKUP(A272,'Change in Proportion Layers'!$A$8:$Y$324,12,FALSE)+VLOOKUP(A272,'Change in Proportion Layers'!$A$8:$Y$324,18,FALSE)</f>
        <v>6475</v>
      </c>
      <c r="T272" s="64">
        <f>+N272+VLOOKUP(A272,'Change in Proportion Layers'!$A$8:$Y$324,6,FALSE)+VLOOKUP(A272,'Change in Proportion Layers'!$A$8:$Y$324,13,FALSE)-1</f>
        <v>5233</v>
      </c>
      <c r="U272" s="64">
        <f>+O272+VLOOKUP(A272,'Change in Proportion Layers'!$A$8:$Y$324,7,FALSE)</f>
        <v>5837</v>
      </c>
      <c r="W272" s="64">
        <f>('OPEB Amounts_Report'!H272-'OPEB Amounts_Report'!M272)</f>
        <v>25759</v>
      </c>
      <c r="X272" s="129">
        <f>SUM(Q272:U272)-('OPEB Amounts_Report'!H272-'OPEB Amounts_Report'!M272)</f>
        <v>0</v>
      </c>
    </row>
    <row r="273" spans="1:24">
      <c r="A273" s="187">
        <v>2370</v>
      </c>
      <c r="B273" s="188" t="s">
        <v>257</v>
      </c>
      <c r="C273" s="5">
        <f t="shared" si="5"/>
        <v>-179981</v>
      </c>
      <c r="D273" s="5">
        <f t="shared" si="5"/>
        <v>-112463</v>
      </c>
      <c r="E273" s="5">
        <f t="shared" si="5"/>
        <v>-74848</v>
      </c>
      <c r="F273" s="5">
        <f t="shared" si="5"/>
        <v>-129512</v>
      </c>
      <c r="G273" s="5">
        <f t="shared" si="5"/>
        <v>-92902</v>
      </c>
      <c r="I273" s="186"/>
      <c r="K273" s="64">
        <f>ROUND(VLOOKUP($A273,'Contribution Allocation_Report'!$A$9:$D$311,4,FALSE)*$K$326,0)</f>
        <v>-165626</v>
      </c>
      <c r="L273" s="64">
        <f>ROUND(VLOOKUP($A273,'Contribution Allocation_Report'!$A$9:$D$311,4,FALSE)*$L$326,0)</f>
        <v>-120353</v>
      </c>
      <c r="M273" s="64">
        <f>ROUND(VLOOKUP($A273,'Contribution Allocation_Report'!$A$9:$D$311,4,FALSE)*$M$326,0)</f>
        <v>-72629</v>
      </c>
      <c r="N273" s="64">
        <f>ROUND(VLOOKUP($A273,'Contribution Allocation_Report'!$A$9:$D$311,4,FALSE)*$N$326,0)</f>
        <v>-109501</v>
      </c>
      <c r="O273" s="64">
        <f>ROUND(VLOOKUP($A273,'Contribution Allocation_Report'!$A$9:$D$311,4,FALSE)*$O$326,0)</f>
        <v>-62379</v>
      </c>
      <c r="Q273" s="64">
        <f>+K273+VLOOKUP(A273,'Change in Proportion Layers'!$A$8:$N$324,3,FALSE)+VLOOKUP(A273,'Change in Proportion Layers'!$A$8:$Y$324,10,FALSE)+VLOOKUP(A273,'Change in Proportion Layers'!$A$8:$Y$324,16,FALSE)+VLOOKUP(A273,'Change in Proportion Layers'!$A$8:$Y$324,21,FALSE)+VLOOKUP(A273,'Change in Proportion Layers'!$A$8:$Y$324,25,FALSE)</f>
        <v>-179981</v>
      </c>
      <c r="R273" s="64">
        <f>+L273+VLOOKUP(A273,'Change in Proportion Layers'!$A$8:$Y$324,4,FALSE)+VLOOKUP(A273,'Change in Proportion Layers'!$A$8:$Y$324,11,FALSE)+VLOOKUP(A273,'Change in Proportion Layers'!$A$8:$Y$324,17,FALSE)+VLOOKUP(A273,'Change in Proportion Layers'!$A$8:$Y$324,22,FALSE)</f>
        <v>-112463</v>
      </c>
      <c r="S273" s="64">
        <f>+M273+VLOOKUP(A273,'Change in Proportion Layers'!$A$8:$Y$324,5,FALSE)+VLOOKUP(A273,'Change in Proportion Layers'!$A$8:$Y$324,12,FALSE)+VLOOKUP(A273,'Change in Proportion Layers'!$A$8:$Y$324,18,FALSE)-1</f>
        <v>-74848</v>
      </c>
      <c r="T273" s="64">
        <f>+N273+VLOOKUP(A273,'Change in Proportion Layers'!$A$8:$Y$324,6,FALSE)+VLOOKUP(A273,'Change in Proportion Layers'!$A$8:$Y$324,13,FALSE)</f>
        <v>-129512</v>
      </c>
      <c r="U273" s="64">
        <f>+O273+VLOOKUP(A273,'Change in Proportion Layers'!$A$8:$Y$324,7,FALSE)</f>
        <v>-92902</v>
      </c>
      <c r="W273" s="64">
        <f>('OPEB Amounts_Report'!H272-'OPEB Amounts_Report'!M272)</f>
        <v>25759</v>
      </c>
      <c r="X273" s="129">
        <f>SUM(Q273:U273)-('OPEB Amounts_Report'!H273-'OPEB Amounts_Report'!M273)</f>
        <v>0</v>
      </c>
    </row>
    <row r="274" spans="1:24">
      <c r="A274" s="184">
        <v>32094</v>
      </c>
      <c r="B274" s="185" t="s">
        <v>258</v>
      </c>
      <c r="C274" s="63">
        <f t="shared" si="5"/>
        <v>-189321</v>
      </c>
      <c r="D274" s="63">
        <f t="shared" si="5"/>
        <v>-117690</v>
      </c>
      <c r="E274" s="63">
        <f t="shared" si="5"/>
        <v>-58396</v>
      </c>
      <c r="F274" s="63">
        <f t="shared" si="5"/>
        <v>-113546</v>
      </c>
      <c r="G274" s="63">
        <f t="shared" si="5"/>
        <v>-66627</v>
      </c>
      <c r="I274" s="186"/>
      <c r="K274" s="64">
        <f>ROUND(VLOOKUP($A274,'Contribution Allocation_Report'!$A$9:$D$311,4,FALSE)*$K$326,0)</f>
        <v>-195592</v>
      </c>
      <c r="L274" s="64">
        <f>ROUND(VLOOKUP($A274,'Contribution Allocation_Report'!$A$9:$D$311,4,FALSE)*$L$326,0)</f>
        <v>-142128</v>
      </c>
      <c r="M274" s="64">
        <f>ROUND(VLOOKUP($A274,'Contribution Allocation_Report'!$A$9:$D$311,4,FALSE)*$M$326,0)</f>
        <v>-85769</v>
      </c>
      <c r="N274" s="64">
        <f>ROUND(VLOOKUP($A274,'Contribution Allocation_Report'!$A$9:$D$311,4,FALSE)*$N$326,0)</f>
        <v>-129312</v>
      </c>
      <c r="O274" s="64">
        <f>ROUND(VLOOKUP($A274,'Contribution Allocation_Report'!$A$9:$D$311,4,FALSE)*$O$326,0)</f>
        <v>-73665</v>
      </c>
      <c r="Q274" s="64">
        <f>+K274+VLOOKUP(A274,'Change in Proportion Layers'!$A$8:$N$324,3,FALSE)+VLOOKUP(A274,'Change in Proportion Layers'!$A$8:$Y$324,10,FALSE)+VLOOKUP(A274,'Change in Proportion Layers'!$A$8:$Y$324,16,FALSE)+VLOOKUP(A274,'Change in Proportion Layers'!$A$8:$Y$324,21,FALSE)+VLOOKUP(A274,'Change in Proportion Layers'!$A$8:$Y$324,25,FALSE)</f>
        <v>-189321</v>
      </c>
      <c r="R274" s="64">
        <f>+L274+VLOOKUP(A274,'Change in Proportion Layers'!$A$8:$Y$324,4,FALSE)+VLOOKUP(A274,'Change in Proportion Layers'!$A$8:$Y$324,11,FALSE)+VLOOKUP(A274,'Change in Proportion Layers'!$A$8:$Y$324,17,FALSE)+VLOOKUP(A274,'Change in Proportion Layers'!$A$8:$Y$324,22,FALSE)</f>
        <v>-117690</v>
      </c>
      <c r="S274" s="64">
        <f>+M274+VLOOKUP(A274,'Change in Proportion Layers'!$A$8:$Y$324,5,FALSE)+VLOOKUP(A274,'Change in Proportion Layers'!$A$8:$Y$324,12,FALSE)+VLOOKUP(A274,'Change in Proportion Layers'!$A$8:$Y$324,18,FALSE)</f>
        <v>-58396</v>
      </c>
      <c r="T274" s="64">
        <f>+N274+VLOOKUP(A274,'Change in Proportion Layers'!$A$8:$Y$324,6,FALSE)+VLOOKUP(A274,'Change in Proportion Layers'!$A$8:$Y$324,13,FALSE)</f>
        <v>-113546</v>
      </c>
      <c r="U274" s="64">
        <f>+O274+VLOOKUP(A274,'Change in Proportion Layers'!$A$8:$Y$324,7,FALSE)</f>
        <v>-66627</v>
      </c>
      <c r="W274" s="64">
        <f>('OPEB Amounts_Report'!H273-'OPEB Amounts_Report'!M273)</f>
        <v>-589706</v>
      </c>
      <c r="X274" s="129">
        <f>SUM(Q274:U274)-('OPEB Amounts_Report'!H274-'OPEB Amounts_Report'!M274)</f>
        <v>0</v>
      </c>
    </row>
    <row r="275" spans="1:24">
      <c r="A275" s="187">
        <v>2790</v>
      </c>
      <c r="B275" s="188" t="s">
        <v>259</v>
      </c>
      <c r="C275" s="5">
        <f t="shared" si="5"/>
        <v>-27797</v>
      </c>
      <c r="D275" s="5">
        <f t="shared" si="5"/>
        <v>-19542</v>
      </c>
      <c r="E275" s="5">
        <f t="shared" si="5"/>
        <v>-13836</v>
      </c>
      <c r="F275" s="5">
        <f t="shared" si="5"/>
        <v>-6107</v>
      </c>
      <c r="G275" s="5">
        <f t="shared" si="5"/>
        <v>-8224</v>
      </c>
      <c r="I275" s="186"/>
      <c r="K275" s="64">
        <f>ROUND(VLOOKUP($A275,'Contribution Allocation_Report'!$A$9:$D$311,4,FALSE)*$K$326,0)</f>
        <v>-20850</v>
      </c>
      <c r="L275" s="64">
        <f>ROUND(VLOOKUP($A275,'Contribution Allocation_Report'!$A$9:$D$311,4,FALSE)*$L$326,0)</f>
        <v>-15151</v>
      </c>
      <c r="M275" s="64">
        <f>ROUND(VLOOKUP($A275,'Contribution Allocation_Report'!$A$9:$D$311,4,FALSE)*$M$326,0)</f>
        <v>-9143</v>
      </c>
      <c r="N275" s="64">
        <f>ROUND(VLOOKUP($A275,'Contribution Allocation_Report'!$A$9:$D$311,4,FALSE)*$N$326,0)</f>
        <v>-13785</v>
      </c>
      <c r="O275" s="64">
        <f>ROUND(VLOOKUP($A275,'Contribution Allocation_Report'!$A$9:$D$311,4,FALSE)*$O$326,0)</f>
        <v>-7853</v>
      </c>
      <c r="Q275" s="64">
        <f>+K275+VLOOKUP(A275,'Change in Proportion Layers'!$A$8:$N$324,3,FALSE)+VLOOKUP(A275,'Change in Proportion Layers'!$A$8:$Y$324,10,FALSE)+VLOOKUP(A275,'Change in Proportion Layers'!$A$8:$Y$324,16,FALSE)+VLOOKUP(A275,'Change in Proportion Layers'!$A$8:$Y$324,21,FALSE)+VLOOKUP(A275,'Change in Proportion Layers'!$A$8:$Y$324,25,FALSE)</f>
        <v>-27797</v>
      </c>
      <c r="R275" s="64">
        <f>+L275+VLOOKUP(A275,'Change in Proportion Layers'!$A$8:$Y$324,4,FALSE)+VLOOKUP(A275,'Change in Proportion Layers'!$A$8:$Y$324,11,FALSE)+VLOOKUP(A275,'Change in Proportion Layers'!$A$8:$Y$324,17,FALSE)+VLOOKUP(A275,'Change in Proportion Layers'!$A$8:$Y$324,22,FALSE)</f>
        <v>-19542</v>
      </c>
      <c r="S275" s="64">
        <f>+M275+VLOOKUP(A275,'Change in Proportion Layers'!$A$8:$Y$324,5,FALSE)+VLOOKUP(A275,'Change in Proportion Layers'!$A$8:$Y$324,12,FALSE)+VLOOKUP(A275,'Change in Proportion Layers'!$A$8:$Y$324,18,FALSE)</f>
        <v>-13836</v>
      </c>
      <c r="T275" s="64">
        <f>+N275+VLOOKUP(A275,'Change in Proportion Layers'!$A$8:$Y$324,6,FALSE)+VLOOKUP(A275,'Change in Proportion Layers'!$A$8:$Y$324,13,FALSE)</f>
        <v>-6107</v>
      </c>
      <c r="U275" s="64">
        <f>+O275+VLOOKUP(A275,'Change in Proportion Layers'!$A$8:$Y$324,7,FALSE)+1</f>
        <v>-8224</v>
      </c>
      <c r="W275" s="64">
        <f>('OPEB Amounts_Report'!H274-'OPEB Amounts_Report'!M274)</f>
        <v>-545580</v>
      </c>
      <c r="X275" s="129">
        <f>SUM(Q275:U275)-('OPEB Amounts_Report'!H275-'OPEB Amounts_Report'!M275)</f>
        <v>0</v>
      </c>
    </row>
    <row r="276" spans="1:24">
      <c r="A276" s="184">
        <v>3330</v>
      </c>
      <c r="B276" s="185" t="s">
        <v>260</v>
      </c>
      <c r="C276" s="63">
        <f t="shared" si="5"/>
        <v>-356498</v>
      </c>
      <c r="D276" s="63">
        <f t="shared" si="5"/>
        <v>-230196</v>
      </c>
      <c r="E276" s="63">
        <f t="shared" si="5"/>
        <v>-125029</v>
      </c>
      <c r="F276" s="63">
        <f t="shared" si="5"/>
        <v>-227380</v>
      </c>
      <c r="G276" s="63">
        <f t="shared" si="5"/>
        <v>-150837</v>
      </c>
      <c r="I276" s="186"/>
      <c r="K276" s="64">
        <f>ROUND(VLOOKUP($A276,'Contribution Allocation_Report'!$A$9:$D$311,4,FALSE)*$K$326,0)</f>
        <v>-431099</v>
      </c>
      <c r="L276" s="64">
        <f>ROUND(VLOOKUP($A276,'Contribution Allocation_Report'!$A$9:$D$311,4,FALSE)*$L$326,0)</f>
        <v>-313261</v>
      </c>
      <c r="M276" s="64">
        <f>ROUND(VLOOKUP($A276,'Contribution Allocation_Report'!$A$9:$D$311,4,FALSE)*$M$326,0)</f>
        <v>-189042</v>
      </c>
      <c r="N276" s="64">
        <f>ROUND(VLOOKUP($A276,'Contribution Allocation_Report'!$A$9:$D$311,4,FALSE)*$N$326,0)</f>
        <v>-285013</v>
      </c>
      <c r="O276" s="64">
        <f>ROUND(VLOOKUP($A276,'Contribution Allocation_Report'!$A$9:$D$311,4,FALSE)*$O$326,0)</f>
        <v>-162363</v>
      </c>
      <c r="Q276" s="64">
        <f>+K276+VLOOKUP(A276,'Change in Proportion Layers'!$A$8:$N$324,3,FALSE)+VLOOKUP(A276,'Change in Proportion Layers'!$A$8:$Y$324,10,FALSE)+VLOOKUP(A276,'Change in Proportion Layers'!$A$8:$Y$324,16,FALSE)+VLOOKUP(A276,'Change in Proportion Layers'!$A$8:$Y$324,21,FALSE)+VLOOKUP(A276,'Change in Proportion Layers'!$A$8:$Y$324,25,FALSE)</f>
        <v>-356498</v>
      </c>
      <c r="R276" s="64">
        <f>+L276+VLOOKUP(A276,'Change in Proportion Layers'!$A$8:$Y$324,4,FALSE)+VLOOKUP(A276,'Change in Proportion Layers'!$A$8:$Y$324,11,FALSE)+VLOOKUP(A276,'Change in Proportion Layers'!$A$8:$Y$324,17,FALSE)+VLOOKUP(A276,'Change in Proportion Layers'!$A$8:$Y$324,22,FALSE)</f>
        <v>-230196</v>
      </c>
      <c r="S276" s="64">
        <f>+M276+VLOOKUP(A276,'Change in Proportion Layers'!$A$8:$Y$324,5,FALSE)+VLOOKUP(A276,'Change in Proportion Layers'!$A$8:$Y$324,12,FALSE)+VLOOKUP(A276,'Change in Proportion Layers'!$A$8:$Y$324,18,FALSE)</f>
        <v>-125029</v>
      </c>
      <c r="T276" s="64">
        <f>+N276+VLOOKUP(A276,'Change in Proportion Layers'!$A$8:$Y$324,6,FALSE)+VLOOKUP(A276,'Change in Proportion Layers'!$A$8:$Y$324,13,FALSE)</f>
        <v>-227380</v>
      </c>
      <c r="U276" s="64">
        <f>+O276+VLOOKUP(A276,'Change in Proportion Layers'!$A$8:$Y$324,7,FALSE)</f>
        <v>-150837</v>
      </c>
      <c r="W276" s="64">
        <f>('OPEB Amounts_Report'!H275-'OPEB Amounts_Report'!M275)</f>
        <v>-75506</v>
      </c>
      <c r="X276" s="129">
        <f>SUM(Q276:U276)-('OPEB Amounts_Report'!H276-'OPEB Amounts_Report'!M276)</f>
        <v>0</v>
      </c>
    </row>
    <row r="277" spans="1:24">
      <c r="A277" s="187">
        <v>2080</v>
      </c>
      <c r="B277" s="188" t="s">
        <v>261</v>
      </c>
      <c r="C277" s="5">
        <f t="shared" si="5"/>
        <v>-408226</v>
      </c>
      <c r="D277" s="5">
        <f t="shared" si="5"/>
        <v>-319481</v>
      </c>
      <c r="E277" s="5">
        <f t="shared" si="5"/>
        <v>-229993</v>
      </c>
      <c r="F277" s="5">
        <f t="shared" si="5"/>
        <v>-361320</v>
      </c>
      <c r="G277" s="5">
        <f t="shared" si="5"/>
        <v>-186114</v>
      </c>
      <c r="I277" s="186"/>
      <c r="K277" s="64">
        <f>ROUND(VLOOKUP($A277,'Contribution Allocation_Report'!$A$9:$D$311,4,FALSE)*$K$326,0)</f>
        <v>-478520</v>
      </c>
      <c r="L277" s="64">
        <f>ROUND(VLOOKUP($A277,'Contribution Allocation_Report'!$A$9:$D$311,4,FALSE)*$L$326,0)</f>
        <v>-347719</v>
      </c>
      <c r="M277" s="64">
        <f>ROUND(VLOOKUP($A277,'Contribution Allocation_Report'!$A$9:$D$311,4,FALSE)*$M$326,0)</f>
        <v>-209837</v>
      </c>
      <c r="N277" s="64">
        <f>ROUND(VLOOKUP($A277,'Contribution Allocation_Report'!$A$9:$D$311,4,FALSE)*$N$326,0)</f>
        <v>-316364</v>
      </c>
      <c r="O277" s="64">
        <f>ROUND(VLOOKUP($A277,'Contribution Allocation_Report'!$A$9:$D$311,4,FALSE)*$O$326,0)</f>
        <v>-180223</v>
      </c>
      <c r="Q277" s="64">
        <f>+K277+VLOOKUP(A277,'Change in Proportion Layers'!$A$8:$N$324,3,FALSE)+VLOOKUP(A277,'Change in Proportion Layers'!$A$8:$Y$324,10,FALSE)+VLOOKUP(A277,'Change in Proportion Layers'!$A$8:$Y$324,16,FALSE)+VLOOKUP(A277,'Change in Proportion Layers'!$A$8:$Y$324,21,FALSE)+VLOOKUP(A277,'Change in Proportion Layers'!$A$8:$Y$324,25,FALSE)</f>
        <v>-408226</v>
      </c>
      <c r="R277" s="64">
        <f>+L277+VLOOKUP(A277,'Change in Proportion Layers'!$A$8:$Y$324,4,FALSE)+VLOOKUP(A277,'Change in Proportion Layers'!$A$8:$Y$324,11,FALSE)+VLOOKUP(A277,'Change in Proportion Layers'!$A$8:$Y$324,17,FALSE)+VLOOKUP(A277,'Change in Proportion Layers'!$A$8:$Y$324,22,FALSE)</f>
        <v>-319481</v>
      </c>
      <c r="S277" s="64">
        <f>+M277+VLOOKUP(A277,'Change in Proportion Layers'!$A$8:$Y$324,5,FALSE)+VLOOKUP(A277,'Change in Proportion Layers'!$A$8:$Y$324,12,FALSE)+VLOOKUP(A277,'Change in Proportion Layers'!$A$8:$Y$324,18,FALSE)</f>
        <v>-229993</v>
      </c>
      <c r="T277" s="64">
        <f>+N277+VLOOKUP(A277,'Change in Proportion Layers'!$A$8:$Y$324,6,FALSE)+VLOOKUP(A277,'Change in Proportion Layers'!$A$8:$Y$324,13,FALSE)</f>
        <v>-361320</v>
      </c>
      <c r="U277" s="64">
        <f>+O277+VLOOKUP(A277,'Change in Proportion Layers'!$A$8:$Y$324,7,FALSE)+1</f>
        <v>-186114</v>
      </c>
      <c r="W277" s="64">
        <f>('OPEB Amounts_Report'!H276-'OPEB Amounts_Report'!M276)</f>
        <v>-1089940</v>
      </c>
      <c r="X277" s="129">
        <f>SUM(Q277:U277)-('OPEB Amounts_Report'!H277-'OPEB Amounts_Report'!M277)</f>
        <v>0</v>
      </c>
    </row>
    <row r="278" spans="1:24">
      <c r="A278" s="184">
        <v>4290</v>
      </c>
      <c r="B278" s="185" t="s">
        <v>262</v>
      </c>
      <c r="C278" s="63">
        <f t="shared" si="5"/>
        <v>-101589</v>
      </c>
      <c r="D278" s="63">
        <f t="shared" si="5"/>
        <v>-93727</v>
      </c>
      <c r="E278" s="63">
        <f t="shared" si="5"/>
        <v>-71154</v>
      </c>
      <c r="F278" s="63">
        <f t="shared" si="5"/>
        <v>-104124</v>
      </c>
      <c r="G278" s="63">
        <f t="shared" si="5"/>
        <v>-59262</v>
      </c>
      <c r="I278" s="186"/>
      <c r="K278" s="64">
        <f>ROUND(VLOOKUP($A278,'Contribution Allocation_Report'!$A$9:$D$311,4,FALSE)*$K$326,0)</f>
        <v>-159410</v>
      </c>
      <c r="L278" s="64">
        <f>ROUND(VLOOKUP($A278,'Contribution Allocation_Report'!$A$9:$D$311,4,FALSE)*$L$326,0)</f>
        <v>-115836</v>
      </c>
      <c r="M278" s="64">
        <f>ROUND(VLOOKUP($A278,'Contribution Allocation_Report'!$A$9:$D$311,4,FALSE)*$M$326,0)</f>
        <v>-69903</v>
      </c>
      <c r="N278" s="64">
        <f>ROUND(VLOOKUP($A278,'Contribution Allocation_Report'!$A$9:$D$311,4,FALSE)*$N$326,0)</f>
        <v>-105391</v>
      </c>
      <c r="O278" s="64">
        <f>ROUND(VLOOKUP($A278,'Contribution Allocation_Report'!$A$9:$D$311,4,FALSE)*$O$326,0)</f>
        <v>-60038</v>
      </c>
      <c r="Q278" s="64">
        <f>+K278+VLOOKUP(A278,'Change in Proportion Layers'!$A$8:$N$324,3,FALSE)+VLOOKUP(A278,'Change in Proportion Layers'!$A$8:$Y$324,10,FALSE)+VLOOKUP(A278,'Change in Proportion Layers'!$A$8:$Y$324,16,FALSE)+VLOOKUP(A278,'Change in Proportion Layers'!$A$8:$Y$324,21,FALSE)+VLOOKUP(A278,'Change in Proportion Layers'!$A$8:$Y$324,25,FALSE)</f>
        <v>-101589</v>
      </c>
      <c r="R278" s="64">
        <f>+L278+VLOOKUP(A278,'Change in Proportion Layers'!$A$8:$Y$324,4,FALSE)+VLOOKUP(A278,'Change in Proportion Layers'!$A$8:$Y$324,11,FALSE)+VLOOKUP(A278,'Change in Proportion Layers'!$A$8:$Y$324,17,FALSE)+VLOOKUP(A278,'Change in Proportion Layers'!$A$8:$Y$324,22,FALSE)</f>
        <v>-93727</v>
      </c>
      <c r="S278" s="64">
        <f>+M278+VLOOKUP(A278,'Change in Proportion Layers'!$A$8:$Y$324,5,FALSE)+VLOOKUP(A278,'Change in Proportion Layers'!$A$8:$Y$324,12,FALSE)+VLOOKUP(A278,'Change in Proportion Layers'!$A$8:$Y$324,18,FALSE)-1</f>
        <v>-71154</v>
      </c>
      <c r="T278" s="64">
        <f>+N278+VLOOKUP(A278,'Change in Proportion Layers'!$A$8:$Y$324,6,FALSE)+VLOOKUP(A278,'Change in Proportion Layers'!$A$8:$Y$324,13,FALSE)</f>
        <v>-104124</v>
      </c>
      <c r="U278" s="64">
        <f>+O278+VLOOKUP(A278,'Change in Proportion Layers'!$A$8:$Y$324,7,FALSE)</f>
        <v>-59262</v>
      </c>
      <c r="W278" s="64">
        <f>('OPEB Amounts_Report'!H277-'OPEB Amounts_Report'!M277)</f>
        <v>-1505134</v>
      </c>
      <c r="X278" s="129">
        <f>SUM(Q278:U278)-('OPEB Amounts_Report'!H278-'OPEB Amounts_Report'!M278)</f>
        <v>0</v>
      </c>
    </row>
    <row r="279" spans="1:24">
      <c r="A279" s="187">
        <v>2270</v>
      </c>
      <c r="B279" s="188" t="s">
        <v>263</v>
      </c>
      <c r="C279" s="5">
        <f t="shared" si="5"/>
        <v>-17132</v>
      </c>
      <c r="D279" s="5">
        <f t="shared" si="5"/>
        <v>-17688</v>
      </c>
      <c r="E279" s="5">
        <f t="shared" si="5"/>
        <v>-16122</v>
      </c>
      <c r="F279" s="5">
        <f t="shared" si="5"/>
        <v>-11961</v>
      </c>
      <c r="G279" s="5">
        <f t="shared" si="5"/>
        <v>-4676</v>
      </c>
      <c r="I279" s="186"/>
      <c r="K279" s="64">
        <f>ROUND(VLOOKUP($A279,'Contribution Allocation_Report'!$A$9:$D$311,4,FALSE)*$K$326,0)</f>
        <v>-7826</v>
      </c>
      <c r="L279" s="64">
        <f>ROUND(VLOOKUP($A279,'Contribution Allocation_Report'!$A$9:$D$311,4,FALSE)*$L$326,0)</f>
        <v>-5687</v>
      </c>
      <c r="M279" s="64">
        <f>ROUND(VLOOKUP($A279,'Contribution Allocation_Report'!$A$9:$D$311,4,FALSE)*$M$326,0)</f>
        <v>-3432</v>
      </c>
      <c r="N279" s="64">
        <f>ROUND(VLOOKUP($A279,'Contribution Allocation_Report'!$A$9:$D$311,4,FALSE)*$N$326,0)</f>
        <v>-5174</v>
      </c>
      <c r="O279" s="64">
        <f>ROUND(VLOOKUP($A279,'Contribution Allocation_Report'!$A$9:$D$311,4,FALSE)*$O$326,0)</f>
        <v>-2948</v>
      </c>
      <c r="Q279" s="64">
        <f>+K279+VLOOKUP(A279,'Change in Proportion Layers'!$A$8:$N$324,3,FALSE)+VLOOKUP(A279,'Change in Proportion Layers'!$A$8:$Y$324,10,FALSE)+VLOOKUP(A279,'Change in Proportion Layers'!$A$8:$Y$324,16,FALSE)+VLOOKUP(A279,'Change in Proportion Layers'!$A$8:$Y$324,21,FALSE)+VLOOKUP(A279,'Change in Proportion Layers'!$A$8:$Y$324,25,FALSE)</f>
        <v>-17132</v>
      </c>
      <c r="R279" s="64">
        <f>+L279+VLOOKUP(A279,'Change in Proportion Layers'!$A$8:$Y$324,4,FALSE)+VLOOKUP(A279,'Change in Proportion Layers'!$A$8:$Y$324,11,FALSE)+VLOOKUP(A279,'Change in Proportion Layers'!$A$8:$Y$324,17,FALSE)+VLOOKUP(A279,'Change in Proportion Layers'!$A$8:$Y$324,22,FALSE)</f>
        <v>-17688</v>
      </c>
      <c r="S279" s="64">
        <f>+M279+VLOOKUP(A279,'Change in Proportion Layers'!$A$8:$Y$324,5,FALSE)+VLOOKUP(A279,'Change in Proportion Layers'!$A$8:$Y$324,12,FALSE)+VLOOKUP(A279,'Change in Proportion Layers'!$A$8:$Y$324,18,FALSE)</f>
        <v>-16122</v>
      </c>
      <c r="T279" s="64">
        <f>+N279+VLOOKUP(A279,'Change in Proportion Layers'!$A$8:$Y$324,6,FALSE)+VLOOKUP(A279,'Change in Proportion Layers'!$A$8:$Y$324,13,FALSE)</f>
        <v>-11961</v>
      </c>
      <c r="U279" s="64">
        <f>+O279+VLOOKUP(A279,'Change in Proportion Layers'!$A$8:$Y$324,7,FALSE)</f>
        <v>-4676</v>
      </c>
      <c r="W279" s="64">
        <f>('OPEB Amounts_Report'!H278-'OPEB Amounts_Report'!M278)</f>
        <v>-429856</v>
      </c>
      <c r="X279" s="129">
        <f>SUM(Q279:U279)-('OPEB Amounts_Report'!H279-'OPEB Amounts_Report'!M279)</f>
        <v>0</v>
      </c>
    </row>
    <row r="280" spans="1:24">
      <c r="A280" s="184">
        <v>2300</v>
      </c>
      <c r="B280" s="185" t="s">
        <v>264</v>
      </c>
      <c r="C280" s="63">
        <f t="shared" si="5"/>
        <v>-72243</v>
      </c>
      <c r="D280" s="63">
        <f t="shared" si="5"/>
        <v>-43682</v>
      </c>
      <c r="E280" s="63">
        <f t="shared" si="5"/>
        <v>-19326</v>
      </c>
      <c r="F280" s="63">
        <f t="shared" si="5"/>
        <v>-31266</v>
      </c>
      <c r="G280" s="63">
        <f t="shared" si="5"/>
        <v>-12673</v>
      </c>
      <c r="I280" s="186"/>
      <c r="K280" s="64">
        <f>ROUND(VLOOKUP($A280,'Contribution Allocation_Report'!$A$9:$D$311,4,FALSE)*$K$326,0)</f>
        <v>-45875</v>
      </c>
      <c r="L280" s="64">
        <f>ROUND(VLOOKUP($A280,'Contribution Allocation_Report'!$A$9:$D$311,4,FALSE)*$L$326,0)</f>
        <v>-33335</v>
      </c>
      <c r="M280" s="64">
        <f>ROUND(VLOOKUP($A280,'Contribution Allocation_Report'!$A$9:$D$311,4,FALSE)*$M$326,0)</f>
        <v>-20117</v>
      </c>
      <c r="N280" s="64">
        <f>ROUND(VLOOKUP($A280,'Contribution Allocation_Report'!$A$9:$D$311,4,FALSE)*$N$326,0)</f>
        <v>-30329</v>
      </c>
      <c r="O280" s="64">
        <f>ROUND(VLOOKUP($A280,'Contribution Allocation_Report'!$A$9:$D$311,4,FALSE)*$O$326,0)</f>
        <v>-17278</v>
      </c>
      <c r="Q280" s="64">
        <f>+K280+VLOOKUP(A280,'Change in Proportion Layers'!$A$8:$N$324,3,FALSE)+VLOOKUP(A280,'Change in Proportion Layers'!$A$8:$Y$324,10,FALSE)+VLOOKUP(A280,'Change in Proportion Layers'!$A$8:$Y$324,16,FALSE)+VLOOKUP(A280,'Change in Proportion Layers'!$A$8:$Y$324,21,FALSE)+VLOOKUP(A280,'Change in Proportion Layers'!$A$8:$Y$324,25,FALSE)</f>
        <v>-72243</v>
      </c>
      <c r="R280" s="64">
        <f>+L280+VLOOKUP(A280,'Change in Proportion Layers'!$A$8:$Y$324,4,FALSE)+VLOOKUP(A280,'Change in Proportion Layers'!$A$8:$Y$324,11,FALSE)+VLOOKUP(A280,'Change in Proportion Layers'!$A$8:$Y$324,17,FALSE)+VLOOKUP(A280,'Change in Proportion Layers'!$A$8:$Y$324,22,FALSE)</f>
        <v>-43682</v>
      </c>
      <c r="S280" s="64">
        <f>+M280+VLOOKUP(A280,'Change in Proportion Layers'!$A$8:$Y$324,5,FALSE)+VLOOKUP(A280,'Change in Proportion Layers'!$A$8:$Y$324,12,FALSE)+VLOOKUP(A280,'Change in Proportion Layers'!$A$8:$Y$324,18,FALSE)</f>
        <v>-19326</v>
      </c>
      <c r="T280" s="64">
        <f>+N280+VLOOKUP(A280,'Change in Proportion Layers'!$A$8:$Y$324,6,FALSE)+VLOOKUP(A280,'Change in Proportion Layers'!$A$8:$Y$324,13,FALSE)</f>
        <v>-31266</v>
      </c>
      <c r="U280" s="64">
        <f>+O280+VLOOKUP(A280,'Change in Proportion Layers'!$A$8:$Y$324,7,FALSE)+1</f>
        <v>-12673</v>
      </c>
      <c r="W280" s="64">
        <f>('OPEB Amounts_Report'!H279-'OPEB Amounts_Report'!M279)</f>
        <v>-67579</v>
      </c>
      <c r="X280" s="129">
        <f>SUM(Q280:U280)-('OPEB Amounts_Report'!H280-'OPEB Amounts_Report'!M280)</f>
        <v>0</v>
      </c>
    </row>
    <row r="281" spans="1:24">
      <c r="A281" s="187">
        <v>2720</v>
      </c>
      <c r="B281" s="188" t="s">
        <v>265</v>
      </c>
      <c r="C281" s="5">
        <f t="shared" si="5"/>
        <v>-694617</v>
      </c>
      <c r="D281" s="5">
        <f t="shared" si="5"/>
        <v>-527458</v>
      </c>
      <c r="E281" s="5">
        <f t="shared" si="5"/>
        <v>-337045</v>
      </c>
      <c r="F281" s="5">
        <f t="shared" si="5"/>
        <v>-390986</v>
      </c>
      <c r="G281" s="5">
        <f t="shared" si="5"/>
        <v>-227997</v>
      </c>
      <c r="I281" s="186"/>
      <c r="K281" s="64">
        <f>ROUND(VLOOKUP($A281,'Contribution Allocation_Report'!$A$9:$D$311,4,FALSE)*$K$326,0)</f>
        <v>-636912</v>
      </c>
      <c r="L281" s="64">
        <f>ROUND(VLOOKUP($A281,'Contribution Allocation_Report'!$A$9:$D$311,4,FALSE)*$L$326,0)</f>
        <v>-462816</v>
      </c>
      <c r="M281" s="64">
        <f>ROUND(VLOOKUP($A281,'Contribution Allocation_Report'!$A$9:$D$311,4,FALSE)*$M$326,0)</f>
        <v>-279293</v>
      </c>
      <c r="N281" s="64">
        <f>ROUND(VLOOKUP($A281,'Contribution Allocation_Report'!$A$9:$D$311,4,FALSE)*$N$326,0)</f>
        <v>-421082</v>
      </c>
      <c r="O281" s="64">
        <f>ROUND(VLOOKUP($A281,'Contribution Allocation_Report'!$A$9:$D$311,4,FALSE)*$O$326,0)</f>
        <v>-239878</v>
      </c>
      <c r="Q281" s="64">
        <f>+K281+VLOOKUP(A281,'Change in Proportion Layers'!$A$8:$N$324,3,FALSE)+VLOOKUP(A281,'Change in Proportion Layers'!$A$8:$Y$324,10,FALSE)+VLOOKUP(A281,'Change in Proportion Layers'!$A$8:$Y$324,16,FALSE)+VLOOKUP(A281,'Change in Proportion Layers'!$A$8:$Y$324,21,FALSE)+VLOOKUP(A281,'Change in Proportion Layers'!$A$8:$Y$324,25,FALSE)</f>
        <v>-694617</v>
      </c>
      <c r="R281" s="64">
        <f>+L281+VLOOKUP(A281,'Change in Proportion Layers'!$A$8:$Y$324,4,FALSE)+VLOOKUP(A281,'Change in Proportion Layers'!$A$8:$Y$324,11,FALSE)+VLOOKUP(A281,'Change in Proportion Layers'!$A$8:$Y$324,17,FALSE)+VLOOKUP(A281,'Change in Proportion Layers'!$A$8:$Y$324,22,FALSE)</f>
        <v>-527458</v>
      </c>
      <c r="S281" s="64">
        <f>+M281+VLOOKUP(A281,'Change in Proportion Layers'!$A$8:$Y$324,5,FALSE)+VLOOKUP(A281,'Change in Proportion Layers'!$A$8:$Y$324,12,FALSE)+VLOOKUP(A281,'Change in Proportion Layers'!$A$8:$Y$324,18,FALSE)-1</f>
        <v>-337045</v>
      </c>
      <c r="T281" s="64">
        <f>+N281+VLOOKUP(A281,'Change in Proportion Layers'!$A$8:$Y$324,6,FALSE)+VLOOKUP(A281,'Change in Proportion Layers'!$A$8:$Y$324,13,FALSE)</f>
        <v>-390986</v>
      </c>
      <c r="U281" s="64">
        <f>+O281+VLOOKUP(A281,'Change in Proportion Layers'!$A$8:$Y$324,7,FALSE)</f>
        <v>-227997</v>
      </c>
      <c r="W281" s="64">
        <f>('OPEB Amounts_Report'!H280-'OPEB Amounts_Report'!M280)</f>
        <v>-179190</v>
      </c>
      <c r="X281" s="129">
        <f>SUM(Q281:U281)-('OPEB Amounts_Report'!H281-'OPEB Amounts_Report'!M281)</f>
        <v>0</v>
      </c>
    </row>
    <row r="282" spans="1:24">
      <c r="A282" s="184">
        <v>2750</v>
      </c>
      <c r="B282" s="185" t="s">
        <v>266</v>
      </c>
      <c r="C282" s="63">
        <f t="shared" si="5"/>
        <v>-47683</v>
      </c>
      <c r="D282" s="63">
        <f t="shared" si="5"/>
        <v>-31170</v>
      </c>
      <c r="E282" s="63">
        <f t="shared" si="5"/>
        <v>-13945</v>
      </c>
      <c r="F282" s="63">
        <f t="shared" si="5"/>
        <v>-28057</v>
      </c>
      <c r="G282" s="63">
        <f t="shared" si="5"/>
        <v>-8852</v>
      </c>
      <c r="I282" s="186"/>
      <c r="K282" s="64">
        <f>ROUND(VLOOKUP($A282,'Contribution Allocation_Report'!$A$9:$D$311,4,FALSE)*$K$326,0)</f>
        <v>-47746</v>
      </c>
      <c r="L282" s="64">
        <f>ROUND(VLOOKUP($A282,'Contribution Allocation_Report'!$A$9:$D$311,4,FALSE)*$L$326,0)</f>
        <v>-34695</v>
      </c>
      <c r="M282" s="64">
        <f>ROUND(VLOOKUP($A282,'Contribution Allocation_Report'!$A$9:$D$311,4,FALSE)*$M$326,0)</f>
        <v>-20937</v>
      </c>
      <c r="N282" s="64">
        <f>ROUND(VLOOKUP($A282,'Contribution Allocation_Report'!$A$9:$D$311,4,FALSE)*$N$326,0)</f>
        <v>-31567</v>
      </c>
      <c r="O282" s="64">
        <f>ROUND(VLOOKUP($A282,'Contribution Allocation_Report'!$A$9:$D$311,4,FALSE)*$O$326,0)</f>
        <v>-17983</v>
      </c>
      <c r="Q282" s="64">
        <f>+K282+VLOOKUP(A282,'Change in Proportion Layers'!$A$8:$N$324,3,FALSE)+VLOOKUP(A282,'Change in Proportion Layers'!$A$8:$Y$324,10,FALSE)+VLOOKUP(A282,'Change in Proportion Layers'!$A$8:$Y$324,16,FALSE)+VLOOKUP(A282,'Change in Proportion Layers'!$A$8:$Y$324,21,FALSE)+VLOOKUP(A282,'Change in Proportion Layers'!$A$8:$Y$324,25,FALSE)</f>
        <v>-47683</v>
      </c>
      <c r="R282" s="64">
        <f>+L282+VLOOKUP(A282,'Change in Proportion Layers'!$A$8:$Y$324,4,FALSE)+VLOOKUP(A282,'Change in Proportion Layers'!$A$8:$Y$324,11,FALSE)+VLOOKUP(A282,'Change in Proportion Layers'!$A$8:$Y$324,17,FALSE)+VLOOKUP(A282,'Change in Proportion Layers'!$A$8:$Y$324,22,FALSE)</f>
        <v>-31170</v>
      </c>
      <c r="S282" s="64">
        <f>+M282+VLOOKUP(A282,'Change in Proportion Layers'!$A$8:$Y$324,5,FALSE)+VLOOKUP(A282,'Change in Proportion Layers'!$A$8:$Y$324,12,FALSE)+VLOOKUP(A282,'Change in Proportion Layers'!$A$8:$Y$324,18,FALSE)-1</f>
        <v>-13945</v>
      </c>
      <c r="T282" s="64">
        <f>+N282+VLOOKUP(A282,'Change in Proportion Layers'!$A$8:$Y$324,6,FALSE)+VLOOKUP(A282,'Change in Proportion Layers'!$A$8:$Y$324,13,FALSE)</f>
        <v>-28057</v>
      </c>
      <c r="U282" s="64">
        <f>+O282+VLOOKUP(A282,'Change in Proportion Layers'!$A$8:$Y$324,7,FALSE)</f>
        <v>-8852</v>
      </c>
      <c r="W282" s="64">
        <f>('OPEB Amounts_Report'!H281-'OPEB Amounts_Report'!M281)</f>
        <v>-2178103</v>
      </c>
      <c r="X282" s="129">
        <f>SUM(Q282:U282)-('OPEB Amounts_Report'!H282-'OPEB Amounts_Report'!M282)</f>
        <v>0</v>
      </c>
    </row>
    <row r="283" spans="1:24">
      <c r="A283" s="187">
        <v>2770</v>
      </c>
      <c r="B283" s="188" t="s">
        <v>267</v>
      </c>
      <c r="C283" s="5">
        <f t="shared" si="5"/>
        <v>-661965</v>
      </c>
      <c r="D283" s="5">
        <f t="shared" si="5"/>
        <v>-514552</v>
      </c>
      <c r="E283" s="5">
        <f t="shared" si="5"/>
        <v>-310576</v>
      </c>
      <c r="F283" s="5">
        <f t="shared" si="5"/>
        <v>-322180</v>
      </c>
      <c r="G283" s="5">
        <f t="shared" si="5"/>
        <v>-124998</v>
      </c>
      <c r="I283" s="186"/>
      <c r="K283" s="64">
        <f>ROUND(VLOOKUP($A283,'Contribution Allocation_Report'!$A$9:$D$311,4,FALSE)*$K$326,0)</f>
        <v>-538262</v>
      </c>
      <c r="L283" s="64">
        <f>ROUND(VLOOKUP($A283,'Contribution Allocation_Report'!$A$9:$D$311,4,FALSE)*$L$326,0)</f>
        <v>-391132</v>
      </c>
      <c r="M283" s="64">
        <f>ROUND(VLOOKUP($A283,'Contribution Allocation_Report'!$A$9:$D$311,4,FALSE)*$M$326,0)</f>
        <v>-236034</v>
      </c>
      <c r="N283" s="64">
        <f>ROUND(VLOOKUP($A283,'Contribution Allocation_Report'!$A$9:$D$311,4,FALSE)*$N$326,0)</f>
        <v>-355862</v>
      </c>
      <c r="O283" s="64">
        <f>ROUND(VLOOKUP($A283,'Contribution Allocation_Report'!$A$9:$D$311,4,FALSE)*$O$326,0)</f>
        <v>-202724</v>
      </c>
      <c r="Q283" s="64">
        <f>+K283+VLOOKUP(A283,'Change in Proportion Layers'!$A$8:$N$324,3,FALSE)+VLOOKUP(A283,'Change in Proportion Layers'!$A$8:$Y$324,10,FALSE)+VLOOKUP(A283,'Change in Proportion Layers'!$A$8:$Y$324,16,FALSE)+VLOOKUP(A283,'Change in Proportion Layers'!$A$8:$Y$324,21,FALSE)+VLOOKUP(A283,'Change in Proportion Layers'!$A$8:$Y$324,25,FALSE)</f>
        <v>-661965</v>
      </c>
      <c r="R283" s="64">
        <f>+L283+VLOOKUP(A283,'Change in Proportion Layers'!$A$8:$Y$324,4,FALSE)+VLOOKUP(A283,'Change in Proportion Layers'!$A$8:$Y$324,11,FALSE)+VLOOKUP(A283,'Change in Proportion Layers'!$A$8:$Y$324,17,FALSE)+VLOOKUP(A283,'Change in Proportion Layers'!$A$8:$Y$324,22,FALSE)</f>
        <v>-514552</v>
      </c>
      <c r="S283" s="64">
        <f>+M283+VLOOKUP(A283,'Change in Proportion Layers'!$A$8:$Y$324,5,FALSE)+VLOOKUP(A283,'Change in Proportion Layers'!$A$8:$Y$324,12,FALSE)+VLOOKUP(A283,'Change in Proportion Layers'!$A$8:$Y$324,18,FALSE)-1</f>
        <v>-310576</v>
      </c>
      <c r="T283" s="64">
        <f>+N283+VLOOKUP(A283,'Change in Proportion Layers'!$A$8:$Y$324,6,FALSE)+VLOOKUP(A283,'Change in Proportion Layers'!$A$8:$Y$324,13,FALSE)</f>
        <v>-322180</v>
      </c>
      <c r="U283" s="64">
        <f>+O283+VLOOKUP(A283,'Change in Proportion Layers'!$A$8:$Y$324,7,FALSE)</f>
        <v>-124998</v>
      </c>
      <c r="W283" s="64">
        <f>('OPEB Amounts_Report'!H282-'OPEB Amounts_Report'!M282)</f>
        <v>-129707</v>
      </c>
      <c r="X283" s="129">
        <f>SUM(Q283:U283)-('OPEB Amounts_Report'!H283-'OPEB Amounts_Report'!M283)</f>
        <v>0</v>
      </c>
    </row>
    <row r="284" spans="1:24">
      <c r="A284" s="184">
        <v>32106</v>
      </c>
      <c r="B284" s="185" t="s">
        <v>268</v>
      </c>
      <c r="C284" s="63">
        <f t="shared" si="5"/>
        <v>-13987</v>
      </c>
      <c r="D284" s="63">
        <f t="shared" si="5"/>
        <v>-28605</v>
      </c>
      <c r="E284" s="63">
        <f t="shared" si="5"/>
        <v>-28358</v>
      </c>
      <c r="F284" s="63">
        <f t="shared" si="5"/>
        <v>-23685</v>
      </c>
      <c r="G284" s="63">
        <f t="shared" si="5"/>
        <v>-36190</v>
      </c>
      <c r="I284" s="186"/>
      <c r="K284" s="64">
        <f>ROUND(VLOOKUP($A284,'Contribution Allocation_Report'!$A$9:$D$311,4,FALSE)*$K$326,0)</f>
        <v>-67078</v>
      </c>
      <c r="L284" s="64">
        <f>ROUND(VLOOKUP($A284,'Contribution Allocation_Report'!$A$9:$D$311,4,FALSE)*$L$326,0)</f>
        <v>-48743</v>
      </c>
      <c r="M284" s="64">
        <f>ROUND(VLOOKUP($A284,'Contribution Allocation_Report'!$A$9:$D$311,4,FALSE)*$M$326,0)</f>
        <v>-29415</v>
      </c>
      <c r="N284" s="64">
        <f>ROUND(VLOOKUP($A284,'Contribution Allocation_Report'!$A$9:$D$311,4,FALSE)*$N$326,0)</f>
        <v>-44347</v>
      </c>
      <c r="O284" s="64">
        <f>ROUND(VLOOKUP($A284,'Contribution Allocation_Report'!$A$9:$D$311,4,FALSE)*$O$326,0)</f>
        <v>-25263</v>
      </c>
      <c r="Q284" s="64">
        <f>+K284+VLOOKUP(A284,'Change in Proportion Layers'!$A$8:$N$324,3,FALSE)+VLOOKUP(A284,'Change in Proportion Layers'!$A$8:$Y$324,10,FALSE)+VLOOKUP(A284,'Change in Proportion Layers'!$A$8:$Y$324,16,FALSE)+VLOOKUP(A284,'Change in Proportion Layers'!$A$8:$Y$324,21,FALSE)+VLOOKUP(A284,'Change in Proportion Layers'!$A$8:$Y$324,25,FALSE)</f>
        <v>-13987</v>
      </c>
      <c r="R284" s="64">
        <f>+L284+VLOOKUP(A284,'Change in Proportion Layers'!$A$8:$Y$324,4,FALSE)+VLOOKUP(A284,'Change in Proportion Layers'!$A$8:$Y$324,11,FALSE)+VLOOKUP(A284,'Change in Proportion Layers'!$A$8:$Y$324,17,FALSE)+VLOOKUP(A284,'Change in Proportion Layers'!$A$8:$Y$324,22,FALSE)</f>
        <v>-28605</v>
      </c>
      <c r="S284" s="64">
        <f>+M284+VLOOKUP(A284,'Change in Proportion Layers'!$A$8:$Y$324,5,FALSE)+VLOOKUP(A284,'Change in Proportion Layers'!$A$8:$Y$324,12,FALSE)+VLOOKUP(A284,'Change in Proportion Layers'!$A$8:$Y$324,18,FALSE)</f>
        <v>-28358</v>
      </c>
      <c r="T284" s="64">
        <f>+N284+VLOOKUP(A284,'Change in Proportion Layers'!$A$8:$Y$324,6,FALSE)+VLOOKUP(A284,'Change in Proportion Layers'!$A$8:$Y$324,13,FALSE)</f>
        <v>-23685</v>
      </c>
      <c r="U284" s="64">
        <f>+O284+VLOOKUP(A284,'Change in Proportion Layers'!$A$8:$Y$324,7,FALSE)</f>
        <v>-36190</v>
      </c>
      <c r="W284" s="64">
        <f>('OPEB Amounts_Report'!H283-'OPEB Amounts_Report'!M283)</f>
        <v>-1934271</v>
      </c>
      <c r="X284" s="129">
        <f>SUM(Q284:U284)-('OPEB Amounts_Report'!H284-'OPEB Amounts_Report'!M284)</f>
        <v>0</v>
      </c>
    </row>
    <row r="285" spans="1:24">
      <c r="A285" s="187">
        <v>4180</v>
      </c>
      <c r="B285" s="188" t="s">
        <v>269</v>
      </c>
      <c r="C285" s="5">
        <f t="shared" ref="C285:G314" si="6">+Q285</f>
        <v>-66272</v>
      </c>
      <c r="D285" s="5">
        <f t="shared" si="6"/>
        <v>-50265</v>
      </c>
      <c r="E285" s="5">
        <f t="shared" si="6"/>
        <v>-35211</v>
      </c>
      <c r="F285" s="5">
        <f t="shared" si="6"/>
        <v>-39320</v>
      </c>
      <c r="G285" s="5">
        <f t="shared" si="6"/>
        <v>-35769</v>
      </c>
      <c r="I285" s="186"/>
      <c r="K285" s="64">
        <f>ROUND(VLOOKUP($A285,'Contribution Allocation_Report'!$A$9:$D$311,4,FALSE)*$K$326,0)</f>
        <v>-65702</v>
      </c>
      <c r="L285" s="64">
        <f>ROUND(VLOOKUP($A285,'Contribution Allocation_Report'!$A$9:$D$311,4,FALSE)*$L$326,0)</f>
        <v>-47743</v>
      </c>
      <c r="M285" s="64">
        <f>ROUND(VLOOKUP($A285,'Contribution Allocation_Report'!$A$9:$D$311,4,FALSE)*$M$326,0)</f>
        <v>-28811</v>
      </c>
      <c r="N285" s="64">
        <f>ROUND(VLOOKUP($A285,'Contribution Allocation_Report'!$A$9:$D$311,4,FALSE)*$N$326,0)</f>
        <v>-43438</v>
      </c>
      <c r="O285" s="64">
        <f>ROUND(VLOOKUP($A285,'Contribution Allocation_Report'!$A$9:$D$311,4,FALSE)*$O$326,0)</f>
        <v>-24745</v>
      </c>
      <c r="Q285" s="64">
        <f>+K285+VLOOKUP(A285,'Change in Proportion Layers'!$A$8:$N$324,3,FALSE)+VLOOKUP(A285,'Change in Proportion Layers'!$A$8:$Y$324,10,FALSE)+VLOOKUP(A285,'Change in Proportion Layers'!$A$8:$Y$324,16,FALSE)+VLOOKUP(A285,'Change in Proportion Layers'!$A$8:$Y$324,21,FALSE)+VLOOKUP(A285,'Change in Proportion Layers'!$A$8:$Y$324,25,FALSE)</f>
        <v>-66272</v>
      </c>
      <c r="R285" s="64">
        <f>+L285+VLOOKUP(A285,'Change in Proportion Layers'!$A$8:$Y$324,4,FALSE)+VLOOKUP(A285,'Change in Proportion Layers'!$A$8:$Y$324,11,FALSE)+VLOOKUP(A285,'Change in Proportion Layers'!$A$8:$Y$324,17,FALSE)+VLOOKUP(A285,'Change in Proportion Layers'!$A$8:$Y$324,22,FALSE)</f>
        <v>-50265</v>
      </c>
      <c r="S285" s="64">
        <f>+M285+VLOOKUP(A285,'Change in Proportion Layers'!$A$8:$Y$324,5,FALSE)+VLOOKUP(A285,'Change in Proportion Layers'!$A$8:$Y$324,12,FALSE)+VLOOKUP(A285,'Change in Proportion Layers'!$A$8:$Y$324,18,FALSE)</f>
        <v>-35211</v>
      </c>
      <c r="T285" s="64">
        <f>+N285+VLOOKUP(A285,'Change in Proportion Layers'!$A$8:$Y$324,6,FALSE)+VLOOKUP(A285,'Change in Proportion Layers'!$A$8:$Y$324,13,FALSE)</f>
        <v>-39320</v>
      </c>
      <c r="U285" s="64">
        <f>+O285+VLOOKUP(A285,'Change in Proportion Layers'!$A$8:$Y$324,7,FALSE)+2</f>
        <v>-35769</v>
      </c>
      <c r="W285" s="64">
        <f>('OPEB Amounts_Report'!H284-'OPEB Amounts_Report'!M284)</f>
        <v>-130825</v>
      </c>
      <c r="X285" s="129">
        <f>SUM(Q285:U285)-('OPEB Amounts_Report'!H285-'OPEB Amounts_Report'!M285)</f>
        <v>0</v>
      </c>
    </row>
    <row r="286" spans="1:24">
      <c r="A286" s="184">
        <v>21063</v>
      </c>
      <c r="B286" s="185" t="s">
        <v>270</v>
      </c>
      <c r="C286" s="63">
        <f t="shared" si="6"/>
        <v>-908749</v>
      </c>
      <c r="D286" s="63">
        <f t="shared" si="6"/>
        <v>-589058</v>
      </c>
      <c r="E286" s="63">
        <f t="shared" si="6"/>
        <v>-372663</v>
      </c>
      <c r="F286" s="63">
        <f t="shared" si="6"/>
        <v>-545195</v>
      </c>
      <c r="G286" s="63">
        <f t="shared" si="6"/>
        <v>-322592</v>
      </c>
      <c r="I286" s="186"/>
      <c r="K286" s="64">
        <f>ROUND(VLOOKUP($A286,'Contribution Allocation_Report'!$A$9:$D$311,4,FALSE)*$K$326,0)</f>
        <v>-877332</v>
      </c>
      <c r="L286" s="64">
        <f>ROUND(VLOOKUP($A286,'Contribution Allocation_Report'!$A$9:$D$311,4,FALSE)*$L$326,0)</f>
        <v>-637519</v>
      </c>
      <c r="M286" s="64">
        <f>ROUND(VLOOKUP($A286,'Contribution Allocation_Report'!$A$9:$D$311,4,FALSE)*$M$326,0)</f>
        <v>-384720</v>
      </c>
      <c r="N286" s="64">
        <f>ROUND(VLOOKUP($A286,'Contribution Allocation_Report'!$A$9:$D$311,4,FALSE)*$N$326,0)</f>
        <v>-580032</v>
      </c>
      <c r="O286" s="64">
        <f>ROUND(VLOOKUP($A286,'Contribution Allocation_Report'!$A$9:$D$311,4,FALSE)*$O$326,0)</f>
        <v>-330426</v>
      </c>
      <c r="Q286" s="64">
        <f>+K286+VLOOKUP(A286,'Change in Proportion Layers'!$A$8:$N$324,3,FALSE)+VLOOKUP(A286,'Change in Proportion Layers'!$A$8:$Y$324,10,FALSE)+VLOOKUP(A286,'Change in Proportion Layers'!$A$8:$Y$324,16,FALSE)+VLOOKUP(A286,'Change in Proportion Layers'!$A$8:$Y$324,21,FALSE)+VLOOKUP(A286,'Change in Proportion Layers'!$A$8:$Y$324,25,FALSE)</f>
        <v>-908749</v>
      </c>
      <c r="R286" s="64">
        <f>+L286+VLOOKUP(A286,'Change in Proportion Layers'!$A$8:$Y$324,4,FALSE)+VLOOKUP(A286,'Change in Proportion Layers'!$A$8:$Y$324,11,FALSE)+VLOOKUP(A286,'Change in Proportion Layers'!$A$8:$Y$324,17,FALSE)+VLOOKUP(A286,'Change in Proportion Layers'!$A$8:$Y$324,22,FALSE)</f>
        <v>-589058</v>
      </c>
      <c r="S286" s="64">
        <f>+M286+VLOOKUP(A286,'Change in Proportion Layers'!$A$8:$Y$324,5,FALSE)+VLOOKUP(A286,'Change in Proportion Layers'!$A$8:$Y$324,12,FALSE)+VLOOKUP(A286,'Change in Proportion Layers'!$A$8:$Y$324,18,FALSE)</f>
        <v>-372663</v>
      </c>
      <c r="T286" s="64">
        <f>+N286+VLOOKUP(A286,'Change in Proportion Layers'!$A$8:$Y$324,6,FALSE)+VLOOKUP(A286,'Change in Proportion Layers'!$A$8:$Y$324,13,FALSE)</f>
        <v>-545195</v>
      </c>
      <c r="U286" s="64">
        <f>+O286+VLOOKUP(A286,'Change in Proportion Layers'!$A$8:$Y$324,7,FALSE)</f>
        <v>-322592</v>
      </c>
      <c r="W286" s="64">
        <f>('OPEB Amounts_Report'!H285-'OPEB Amounts_Report'!M285)</f>
        <v>-226837</v>
      </c>
      <c r="X286" s="129">
        <f>SUM(Q286:U286)-('OPEB Amounts_Report'!H286-'OPEB Amounts_Report'!M286)</f>
        <v>0</v>
      </c>
    </row>
    <row r="287" spans="1:24">
      <c r="A287" s="187">
        <v>10033</v>
      </c>
      <c r="B287" s="188" t="s">
        <v>271</v>
      </c>
      <c r="C287" s="5">
        <f t="shared" si="6"/>
        <v>-646321</v>
      </c>
      <c r="D287" s="5">
        <f t="shared" si="6"/>
        <v>-470195</v>
      </c>
      <c r="E287" s="5">
        <f t="shared" si="6"/>
        <v>-278340</v>
      </c>
      <c r="F287" s="5">
        <f t="shared" si="6"/>
        <v>-392875</v>
      </c>
      <c r="G287" s="5">
        <f t="shared" si="6"/>
        <v>-243851</v>
      </c>
      <c r="I287" s="186"/>
      <c r="K287" s="64">
        <f>ROUND(VLOOKUP($A287,'Contribution Allocation_Report'!$A$9:$D$311,4,FALSE)*$K$326,0)</f>
        <v>-607015</v>
      </c>
      <c r="L287" s="64">
        <f>ROUND(VLOOKUP($A287,'Contribution Allocation_Report'!$A$9:$D$311,4,FALSE)*$L$326,0)</f>
        <v>-441091</v>
      </c>
      <c r="M287" s="64">
        <f>ROUND(VLOOKUP($A287,'Contribution Allocation_Report'!$A$9:$D$311,4,FALSE)*$M$326,0)</f>
        <v>-266183</v>
      </c>
      <c r="N287" s="64">
        <f>ROUND(VLOOKUP($A287,'Contribution Allocation_Report'!$A$9:$D$311,4,FALSE)*$N$326,0)</f>
        <v>-401317</v>
      </c>
      <c r="O287" s="64">
        <f>ROUND(VLOOKUP($A287,'Contribution Allocation_Report'!$A$9:$D$311,4,FALSE)*$O$326,0)</f>
        <v>-228618</v>
      </c>
      <c r="Q287" s="64">
        <f>+K287+VLOOKUP(A287,'Change in Proportion Layers'!$A$8:$N$324,3,FALSE)+VLOOKUP(A287,'Change in Proportion Layers'!$A$8:$Y$324,10,FALSE)+VLOOKUP(A287,'Change in Proportion Layers'!$A$8:$Y$324,16,FALSE)+VLOOKUP(A287,'Change in Proportion Layers'!$A$8:$Y$324,21,FALSE)+VLOOKUP(A287,'Change in Proportion Layers'!$A$8:$Y$324,25,FALSE)</f>
        <v>-646321</v>
      </c>
      <c r="R287" s="64">
        <f>+L287+VLOOKUP(A287,'Change in Proportion Layers'!$A$8:$Y$324,4,FALSE)+VLOOKUP(A287,'Change in Proportion Layers'!$A$8:$Y$324,11,FALSE)+VLOOKUP(A287,'Change in Proportion Layers'!$A$8:$Y$324,17,FALSE)+VLOOKUP(A287,'Change in Proportion Layers'!$A$8:$Y$324,22,FALSE)</f>
        <v>-470195</v>
      </c>
      <c r="S287" s="64">
        <f>+M287+VLOOKUP(A287,'Change in Proportion Layers'!$A$8:$Y$324,5,FALSE)+VLOOKUP(A287,'Change in Proportion Layers'!$A$8:$Y$324,12,FALSE)+VLOOKUP(A287,'Change in Proportion Layers'!$A$8:$Y$324,18,FALSE)</f>
        <v>-278340</v>
      </c>
      <c r="T287" s="64">
        <f>+N287+VLOOKUP(A287,'Change in Proportion Layers'!$A$8:$Y$324,6,FALSE)+VLOOKUP(A287,'Change in Proportion Layers'!$A$8:$Y$324,13,FALSE)</f>
        <v>-392875</v>
      </c>
      <c r="U287" s="64">
        <f>+O287+VLOOKUP(A287,'Change in Proportion Layers'!$A$8:$Y$324,7,FALSE)</f>
        <v>-243851</v>
      </c>
      <c r="W287" s="64">
        <f>('OPEB Amounts_Report'!H286-'OPEB Amounts_Report'!M286)</f>
        <v>-2738257</v>
      </c>
      <c r="X287" s="129">
        <f>SUM(Q287:U287)-('OPEB Amounts_Report'!H287-'OPEB Amounts_Report'!M287)</f>
        <v>0</v>
      </c>
    </row>
    <row r="288" spans="1:24">
      <c r="A288" s="184">
        <v>15049</v>
      </c>
      <c r="B288" s="185" t="s">
        <v>272</v>
      </c>
      <c r="C288" s="63">
        <f t="shared" si="6"/>
        <v>-663304</v>
      </c>
      <c r="D288" s="63">
        <f t="shared" si="6"/>
        <v>-452058</v>
      </c>
      <c r="E288" s="63">
        <f t="shared" si="6"/>
        <v>-265483</v>
      </c>
      <c r="F288" s="63">
        <f t="shared" si="6"/>
        <v>-392165</v>
      </c>
      <c r="G288" s="63">
        <f t="shared" si="6"/>
        <v>-212999</v>
      </c>
      <c r="I288" s="186"/>
      <c r="K288" s="64">
        <f>ROUND(VLOOKUP($A288,'Contribution Allocation_Report'!$A$9:$D$311,4,FALSE)*$K$326,0)</f>
        <v>-634627</v>
      </c>
      <c r="L288" s="64">
        <f>ROUND(VLOOKUP($A288,'Contribution Allocation_Report'!$A$9:$D$311,4,FALSE)*$L$326,0)</f>
        <v>-461156</v>
      </c>
      <c r="M288" s="64">
        <f>ROUND(VLOOKUP($A288,'Contribution Allocation_Report'!$A$9:$D$311,4,FALSE)*$M$326,0)</f>
        <v>-278291</v>
      </c>
      <c r="N288" s="64">
        <f>ROUND(VLOOKUP($A288,'Contribution Allocation_Report'!$A$9:$D$311,4,FALSE)*$N$326,0)</f>
        <v>-419572</v>
      </c>
      <c r="O288" s="64">
        <f>ROUND(VLOOKUP($A288,'Contribution Allocation_Report'!$A$9:$D$311,4,FALSE)*$O$326,0)</f>
        <v>-239017</v>
      </c>
      <c r="Q288" s="64">
        <f>+K288+VLOOKUP(A288,'Change in Proportion Layers'!$A$8:$N$324,3,FALSE)+VLOOKUP(A288,'Change in Proportion Layers'!$A$8:$Y$324,10,FALSE)+VLOOKUP(A288,'Change in Proportion Layers'!$A$8:$Y$324,16,FALSE)+VLOOKUP(A288,'Change in Proportion Layers'!$A$8:$Y$324,21,FALSE)+VLOOKUP(A288,'Change in Proportion Layers'!$A$8:$Y$324,25,FALSE)</f>
        <v>-663304</v>
      </c>
      <c r="R288" s="64">
        <f>+L288+VLOOKUP(A288,'Change in Proportion Layers'!$A$8:$Y$324,4,FALSE)+VLOOKUP(A288,'Change in Proportion Layers'!$A$8:$Y$324,11,FALSE)+VLOOKUP(A288,'Change in Proportion Layers'!$A$8:$Y$324,17,FALSE)+VLOOKUP(A288,'Change in Proportion Layers'!$A$8:$Y$324,22,FALSE)</f>
        <v>-452058</v>
      </c>
      <c r="S288" s="64">
        <f>+M288+VLOOKUP(A288,'Change in Proportion Layers'!$A$8:$Y$324,5,FALSE)+VLOOKUP(A288,'Change in Proportion Layers'!$A$8:$Y$324,12,FALSE)+VLOOKUP(A288,'Change in Proportion Layers'!$A$8:$Y$324,18,FALSE)</f>
        <v>-265483</v>
      </c>
      <c r="T288" s="64">
        <f>+N288+VLOOKUP(A288,'Change in Proportion Layers'!$A$8:$Y$324,6,FALSE)+VLOOKUP(A288,'Change in Proportion Layers'!$A$8:$Y$324,13,FALSE)</f>
        <v>-392165</v>
      </c>
      <c r="U288" s="64">
        <f>+O288+VLOOKUP(A288,'Change in Proportion Layers'!$A$8:$Y$324,7,FALSE)</f>
        <v>-212999</v>
      </c>
      <c r="W288" s="64">
        <f>('OPEB Amounts_Report'!H287-'OPEB Amounts_Report'!M287)</f>
        <v>-2031582</v>
      </c>
      <c r="X288" s="129">
        <f>SUM(Q288:U288)-('OPEB Amounts_Report'!H288-'OPEB Amounts_Report'!M288)</f>
        <v>0</v>
      </c>
    </row>
    <row r="289" spans="1:24">
      <c r="A289" s="187">
        <v>1315</v>
      </c>
      <c r="B289" s="188" t="s">
        <v>273</v>
      </c>
      <c r="C289" s="5">
        <f t="shared" si="6"/>
        <v>-105738</v>
      </c>
      <c r="D289" s="5">
        <f t="shared" si="6"/>
        <v>-46828</v>
      </c>
      <c r="E289" s="5">
        <f t="shared" si="6"/>
        <v>9694</v>
      </c>
      <c r="F289" s="5">
        <f t="shared" si="6"/>
        <v>-146858</v>
      </c>
      <c r="G289" s="5">
        <f t="shared" si="6"/>
        <v>-73900</v>
      </c>
      <c r="I289" s="186"/>
      <c r="K289" s="64">
        <f>ROUND(VLOOKUP($A289,'Contribution Allocation_Report'!$A$9:$D$311,4,FALSE)*$K$326,0)</f>
        <v>-414644</v>
      </c>
      <c r="L289" s="64">
        <f>ROUND(VLOOKUP($A289,'Contribution Allocation_Report'!$A$9:$D$311,4,FALSE)*$L$326,0)</f>
        <v>-301303</v>
      </c>
      <c r="M289" s="64">
        <f>ROUND(VLOOKUP($A289,'Contribution Allocation_Report'!$A$9:$D$311,4,FALSE)*$M$326,0)</f>
        <v>-181826</v>
      </c>
      <c r="N289" s="64">
        <f>ROUND(VLOOKUP($A289,'Contribution Allocation_Report'!$A$9:$D$311,4,FALSE)*$N$326,0)</f>
        <v>-274134</v>
      </c>
      <c r="O289" s="64">
        <f>ROUND(VLOOKUP($A289,'Contribution Allocation_Report'!$A$9:$D$311,4,FALSE)*$O$326,0)</f>
        <v>-156166</v>
      </c>
      <c r="Q289" s="64">
        <f>+K289+VLOOKUP(A289,'Change in Proportion Layers'!$A$8:$N$324,3,FALSE)+VLOOKUP(A289,'Change in Proportion Layers'!$A$8:$Y$324,10,FALSE)+VLOOKUP(A289,'Change in Proportion Layers'!$A$8:$Y$324,16,FALSE)+VLOOKUP(A289,'Change in Proportion Layers'!$A$8:$Y$324,21,FALSE)+VLOOKUP(A289,'Change in Proportion Layers'!$A$8:$Y$324,25,FALSE)+1</f>
        <v>-105738</v>
      </c>
      <c r="R289" s="64">
        <f>+L289+VLOOKUP(A289,'Change in Proportion Layers'!$A$8:$Y$324,4,FALSE)+VLOOKUP(A289,'Change in Proportion Layers'!$A$8:$Y$324,11,FALSE)+VLOOKUP(A289,'Change in Proportion Layers'!$A$8:$Y$324,17,FALSE)+VLOOKUP(A289,'Change in Proportion Layers'!$A$8:$Y$324,22,FALSE)</f>
        <v>-46828</v>
      </c>
      <c r="S289" s="64">
        <f>+M289+VLOOKUP(A289,'Change in Proportion Layers'!$A$8:$Y$324,5,FALSE)+VLOOKUP(A289,'Change in Proportion Layers'!$A$8:$Y$324,12,FALSE)+VLOOKUP(A289,'Change in Proportion Layers'!$A$8:$Y$324,18,FALSE)</f>
        <v>9694</v>
      </c>
      <c r="T289" s="64">
        <f>+N289+VLOOKUP(A289,'Change in Proportion Layers'!$A$8:$Y$324,6,FALSE)+VLOOKUP(A289,'Change in Proportion Layers'!$A$8:$Y$324,13,FALSE)</f>
        <v>-146858</v>
      </c>
      <c r="U289" s="64">
        <f>+O289+VLOOKUP(A289,'Change in Proportion Layers'!$A$8:$Y$324,7,FALSE)</f>
        <v>-73900</v>
      </c>
      <c r="W289" s="64">
        <f>('OPEB Amounts_Report'!H288-'OPEB Amounts_Report'!M288)</f>
        <v>-1986009</v>
      </c>
      <c r="X289" s="129">
        <f>SUM(Q289:U289)-('OPEB Amounts_Report'!H289-'OPEB Amounts_Report'!M289)</f>
        <v>0</v>
      </c>
    </row>
    <row r="290" spans="1:24">
      <c r="A290" s="189">
        <v>3340</v>
      </c>
      <c r="B290" s="190" t="s">
        <v>274</v>
      </c>
      <c r="C290" s="191">
        <f t="shared" si="6"/>
        <v>-175118</v>
      </c>
      <c r="D290" s="191">
        <f t="shared" si="6"/>
        <v>-126125</v>
      </c>
      <c r="E290" s="191">
        <f t="shared" si="6"/>
        <v>-83160</v>
      </c>
      <c r="F290" s="191">
        <f t="shared" si="6"/>
        <v>-84326</v>
      </c>
      <c r="G290" s="191">
        <f t="shared" si="6"/>
        <v>-57433</v>
      </c>
      <c r="I290" s="186"/>
      <c r="K290" s="64">
        <f>ROUND(VLOOKUP($A290,'Contribution Allocation_Report'!$A$9:$D$311,4,FALSE)*$K$326,0)</f>
        <v>-161920</v>
      </c>
      <c r="L290" s="64">
        <f>ROUND(VLOOKUP($A290,'Contribution Allocation_Report'!$A$9:$D$311,4,FALSE)*$L$326,0)</f>
        <v>-117660</v>
      </c>
      <c r="M290" s="64">
        <f>ROUND(VLOOKUP($A290,'Contribution Allocation_Report'!$A$9:$D$311,4,FALSE)*$M$326,0)</f>
        <v>-71004</v>
      </c>
      <c r="N290" s="64">
        <f>ROUND(VLOOKUP($A290,'Contribution Allocation_Report'!$A$9:$D$311,4,FALSE)*$N$326,0)</f>
        <v>-107050</v>
      </c>
      <c r="O290" s="64">
        <f>ROUND(VLOOKUP($A290,'Contribution Allocation_Report'!$A$9:$D$311,4,FALSE)*$O$326,0)</f>
        <v>-60983</v>
      </c>
      <c r="Q290" s="64">
        <f>+K290+VLOOKUP(A290,'Change in Proportion Layers'!$A$8:$N$324,3,FALSE)+VLOOKUP(A290,'Change in Proportion Layers'!$A$8:$Y$324,10,FALSE)+VLOOKUP(A290,'Change in Proportion Layers'!$A$8:$Y$324,16,FALSE)+VLOOKUP(A290,'Change in Proportion Layers'!$A$8:$Y$324,21,FALSE)+VLOOKUP(A290,'Change in Proportion Layers'!$A$8:$Y$324,25,FALSE)</f>
        <v>-175118</v>
      </c>
      <c r="R290" s="64">
        <f>+L290+VLOOKUP(A290,'Change in Proportion Layers'!$A$8:$Y$324,4,FALSE)+VLOOKUP(A290,'Change in Proportion Layers'!$A$8:$Y$324,11,FALSE)+VLOOKUP(A290,'Change in Proportion Layers'!$A$8:$Y$324,17,FALSE)+VLOOKUP(A290,'Change in Proportion Layers'!$A$8:$Y$324,22,FALSE)</f>
        <v>-126125</v>
      </c>
      <c r="S290" s="64">
        <f>+M290+VLOOKUP(A290,'Change in Proportion Layers'!$A$8:$Y$324,5,FALSE)+VLOOKUP(A290,'Change in Proportion Layers'!$A$8:$Y$324,12,FALSE)+VLOOKUP(A290,'Change in Proportion Layers'!$A$8:$Y$324,18,FALSE)</f>
        <v>-83160</v>
      </c>
      <c r="T290" s="64">
        <f>+N290+VLOOKUP(A290,'Change in Proportion Layers'!$A$8:$Y$324,6,FALSE)+VLOOKUP(A290,'Change in Proportion Layers'!$A$8:$Y$324,13,FALSE)</f>
        <v>-84326</v>
      </c>
      <c r="U290" s="64">
        <f>+O290+VLOOKUP(A290,'Change in Proportion Layers'!$A$8:$Y$324,7,FALSE)</f>
        <v>-57433</v>
      </c>
      <c r="W290" s="64">
        <f>('OPEB Amounts_Report'!H289-'OPEB Amounts_Report'!M289)</f>
        <v>-363630</v>
      </c>
      <c r="X290" s="129">
        <f>SUM(Q290:U290)-('OPEB Amounts_Report'!H290-'OPEB Amounts_Report'!M290)</f>
        <v>0</v>
      </c>
    </row>
    <row r="291" spans="1:24">
      <c r="A291" s="187">
        <v>3350</v>
      </c>
      <c r="B291" s="188" t="s">
        <v>275</v>
      </c>
      <c r="C291" s="192">
        <f t="shared" si="6"/>
        <v>-1196286</v>
      </c>
      <c r="D291" s="192">
        <f t="shared" si="6"/>
        <v>-863925</v>
      </c>
      <c r="E291" s="192">
        <f t="shared" si="6"/>
        <v>-434336</v>
      </c>
      <c r="F291" s="192">
        <f t="shared" si="6"/>
        <v>-626708</v>
      </c>
      <c r="G291" s="192">
        <f t="shared" si="6"/>
        <v>-92109</v>
      </c>
      <c r="I291" s="186"/>
      <c r="K291" s="64">
        <f>ROUND(VLOOKUP($A291,'Contribution Allocation_Report'!$A$9:$D$311,4,FALSE)*$K$326,0)</f>
        <v>-990670</v>
      </c>
      <c r="L291" s="64">
        <f>ROUND(VLOOKUP($A291,'Contribution Allocation_Report'!$A$9:$D$311,4,FALSE)*$L$326,0)</f>
        <v>-719877</v>
      </c>
      <c r="M291" s="64">
        <f>ROUND(VLOOKUP($A291,'Contribution Allocation_Report'!$A$9:$D$311,4,FALSE)*$M$326,0)</f>
        <v>-434421</v>
      </c>
      <c r="N291" s="64">
        <f>ROUND(VLOOKUP($A291,'Contribution Allocation_Report'!$A$9:$D$311,4,FALSE)*$N$326,0)</f>
        <v>-654963</v>
      </c>
      <c r="O291" s="64">
        <f>ROUND(VLOOKUP($A291,'Contribution Allocation_Report'!$A$9:$D$311,4,FALSE)*$O$326,0)</f>
        <v>-373112</v>
      </c>
      <c r="Q291" s="64">
        <f>+K291+VLOOKUP(A291,'Change in Proportion Layers'!$A$8:$N$324,3,FALSE)+VLOOKUP(A291,'Change in Proportion Layers'!$A$8:$Y$324,10,FALSE)+VLOOKUP(A291,'Change in Proportion Layers'!$A$8:$Y$324,16,FALSE)+VLOOKUP(A291,'Change in Proportion Layers'!$A$8:$Y$324,21,FALSE)+VLOOKUP(A291,'Change in Proportion Layers'!$A$8:$Y$324,25,FALSE)</f>
        <v>-1196286</v>
      </c>
      <c r="R291" s="64">
        <f>+L291+VLOOKUP(A291,'Change in Proportion Layers'!$A$8:$Y$324,4,FALSE)+VLOOKUP(A291,'Change in Proportion Layers'!$A$8:$Y$324,11,FALSE)+VLOOKUP(A291,'Change in Proportion Layers'!$A$8:$Y$324,17,FALSE)+VLOOKUP(A291,'Change in Proportion Layers'!$A$8:$Y$324,22,FALSE)</f>
        <v>-863925</v>
      </c>
      <c r="S291" s="64">
        <f>+M291+VLOOKUP(A291,'Change in Proportion Layers'!$A$8:$Y$324,5,FALSE)+VLOOKUP(A291,'Change in Proportion Layers'!$A$8:$Y$324,12,FALSE)+VLOOKUP(A291,'Change in Proportion Layers'!$A$8:$Y$324,18,FALSE)</f>
        <v>-434336</v>
      </c>
      <c r="T291" s="64">
        <f>+N291+VLOOKUP(A291,'Change in Proportion Layers'!$A$8:$Y$324,6,FALSE)+VLOOKUP(A291,'Change in Proportion Layers'!$A$8:$Y$324,13,FALSE)</f>
        <v>-626708</v>
      </c>
      <c r="U291" s="64">
        <f>+O291+VLOOKUP(A291,'Change in Proportion Layers'!$A$8:$Y$324,7,FALSE)</f>
        <v>-92109</v>
      </c>
      <c r="W291" s="64">
        <f>('OPEB Amounts_Report'!H290-'OPEB Amounts_Report'!M290)</f>
        <v>-526162</v>
      </c>
      <c r="X291" s="129">
        <f>SUM(Q291:U291)-('OPEB Amounts_Report'!H291-'OPEB Amounts_Report'!M291)</f>
        <v>0</v>
      </c>
    </row>
    <row r="292" spans="1:24">
      <c r="A292" s="184">
        <v>24073</v>
      </c>
      <c r="B292" s="185" t="s">
        <v>276</v>
      </c>
      <c r="C292" s="63">
        <f t="shared" si="6"/>
        <v>-107707</v>
      </c>
      <c r="D292" s="63">
        <f t="shared" si="6"/>
        <v>-69875</v>
      </c>
      <c r="E292" s="63">
        <f t="shared" si="6"/>
        <v>-46148</v>
      </c>
      <c r="F292" s="63">
        <f t="shared" si="6"/>
        <v>-70488</v>
      </c>
      <c r="G292" s="63">
        <f t="shared" si="6"/>
        <v>-50966</v>
      </c>
      <c r="I292" s="186"/>
      <c r="K292" s="64">
        <f>ROUND(VLOOKUP($A292,'Contribution Allocation_Report'!$A$9:$D$311,4,FALSE)*$K$326,0)</f>
        <v>-102264</v>
      </c>
      <c r="L292" s="64">
        <f>ROUND(VLOOKUP($A292,'Contribution Allocation_Report'!$A$9:$D$311,4,FALSE)*$L$326,0)</f>
        <v>-74311</v>
      </c>
      <c r="M292" s="64">
        <f>ROUND(VLOOKUP($A292,'Contribution Allocation_Report'!$A$9:$D$311,4,FALSE)*$M$326,0)</f>
        <v>-44844</v>
      </c>
      <c r="N292" s="64">
        <f>ROUND(VLOOKUP($A292,'Contribution Allocation_Report'!$A$9:$D$311,4,FALSE)*$N$326,0)</f>
        <v>-67610</v>
      </c>
      <c r="O292" s="64">
        <f>ROUND(VLOOKUP($A292,'Contribution Allocation_Report'!$A$9:$D$311,4,FALSE)*$O$326,0)</f>
        <v>-38515</v>
      </c>
      <c r="Q292" s="64">
        <f>+K292+VLOOKUP(A292,'Change in Proportion Layers'!$A$8:$N$324,3,FALSE)+VLOOKUP(A292,'Change in Proportion Layers'!$A$8:$Y$324,10,FALSE)+VLOOKUP(A292,'Change in Proportion Layers'!$A$8:$Y$324,16,FALSE)+VLOOKUP(A292,'Change in Proportion Layers'!$A$8:$Y$324,21,FALSE)+VLOOKUP(A292,'Change in Proportion Layers'!$A$8:$Y$324,25,FALSE)</f>
        <v>-107707</v>
      </c>
      <c r="R292" s="64">
        <f>+L292+VLOOKUP(A292,'Change in Proportion Layers'!$A$8:$Y$324,4,FALSE)+VLOOKUP(A292,'Change in Proportion Layers'!$A$8:$Y$324,11,FALSE)+VLOOKUP(A292,'Change in Proportion Layers'!$A$8:$Y$324,17,FALSE)+VLOOKUP(A292,'Change in Proportion Layers'!$A$8:$Y$324,22,FALSE)</f>
        <v>-69875</v>
      </c>
      <c r="S292" s="64">
        <f>+M292+VLOOKUP(A292,'Change in Proportion Layers'!$A$8:$Y$324,5,FALSE)+VLOOKUP(A292,'Change in Proportion Layers'!$A$8:$Y$324,12,FALSE)+VLOOKUP(A292,'Change in Proportion Layers'!$A$8:$Y$324,18,FALSE)-1</f>
        <v>-46148</v>
      </c>
      <c r="T292" s="64">
        <f>+N292+VLOOKUP(A292,'Change in Proportion Layers'!$A$8:$Y$324,6,FALSE)+VLOOKUP(A292,'Change in Proportion Layers'!$A$8:$Y$324,13,FALSE)</f>
        <v>-70488</v>
      </c>
      <c r="U292" s="64">
        <f>+O292+VLOOKUP(A292,'Change in Proportion Layers'!$A$8:$Y$324,7,FALSE)</f>
        <v>-50966</v>
      </c>
      <c r="W292" s="64">
        <f>('OPEB Amounts_Report'!H291-'OPEB Amounts_Report'!M291)</f>
        <v>-3213364</v>
      </c>
      <c r="X292" s="129">
        <f>SUM(Q292:U292)-('OPEB Amounts_Report'!H292-'OPEB Amounts_Report'!M292)</f>
        <v>0</v>
      </c>
    </row>
    <row r="293" spans="1:24">
      <c r="A293" s="187">
        <v>2100</v>
      </c>
      <c r="B293" s="188" t="s">
        <v>277</v>
      </c>
      <c r="C293" s="5">
        <f t="shared" si="6"/>
        <v>-138823</v>
      </c>
      <c r="D293" s="5">
        <f t="shared" si="6"/>
        <v>-104154</v>
      </c>
      <c r="E293" s="5">
        <f t="shared" si="6"/>
        <v>-56955</v>
      </c>
      <c r="F293" s="5">
        <f t="shared" si="6"/>
        <v>-94140</v>
      </c>
      <c r="G293" s="5">
        <f t="shared" si="6"/>
        <v>-49432</v>
      </c>
      <c r="I293" s="186"/>
      <c r="K293" s="64">
        <f>ROUND(VLOOKUP($A293,'Contribution Allocation_Report'!$A$9:$D$311,4,FALSE)*$K$326,0)</f>
        <v>-135849</v>
      </c>
      <c r="L293" s="64">
        <f>ROUND(VLOOKUP($A293,'Contribution Allocation_Report'!$A$9:$D$311,4,FALSE)*$L$326,0)</f>
        <v>-98716</v>
      </c>
      <c r="M293" s="64">
        <f>ROUND(VLOOKUP($A293,'Contribution Allocation_Report'!$A$9:$D$311,4,FALSE)*$M$326,0)</f>
        <v>-59571</v>
      </c>
      <c r="N293" s="64">
        <f>ROUND(VLOOKUP($A293,'Contribution Allocation_Report'!$A$9:$D$311,4,FALSE)*$N$326,0)</f>
        <v>-89814</v>
      </c>
      <c r="O293" s="64">
        <f>ROUND(VLOOKUP($A293,'Contribution Allocation_Report'!$A$9:$D$311,4,FALSE)*$O$326,0)</f>
        <v>-51164</v>
      </c>
      <c r="Q293" s="64">
        <f>+K293+VLOOKUP(A293,'Change in Proportion Layers'!$A$8:$N$324,3,FALSE)+VLOOKUP(A293,'Change in Proportion Layers'!$A$8:$Y$324,10,FALSE)+VLOOKUP(A293,'Change in Proportion Layers'!$A$8:$Y$324,16,FALSE)+VLOOKUP(A293,'Change in Proportion Layers'!$A$8:$Y$324,21,FALSE)+VLOOKUP(A293,'Change in Proportion Layers'!$A$8:$Y$324,25,FALSE)</f>
        <v>-138823</v>
      </c>
      <c r="R293" s="64">
        <f>+L293+VLOOKUP(A293,'Change in Proportion Layers'!$A$8:$Y$324,4,FALSE)+VLOOKUP(A293,'Change in Proportion Layers'!$A$8:$Y$324,11,FALSE)+VLOOKUP(A293,'Change in Proportion Layers'!$A$8:$Y$324,17,FALSE)+VLOOKUP(A293,'Change in Proportion Layers'!$A$8:$Y$324,22,FALSE)</f>
        <v>-104154</v>
      </c>
      <c r="S293" s="64">
        <f>+M293+VLOOKUP(A293,'Change in Proportion Layers'!$A$8:$Y$324,5,FALSE)+VLOOKUP(A293,'Change in Proportion Layers'!$A$8:$Y$324,12,FALSE)+VLOOKUP(A293,'Change in Proportion Layers'!$A$8:$Y$324,18,FALSE)</f>
        <v>-56955</v>
      </c>
      <c r="T293" s="64">
        <f>+N293+VLOOKUP(A293,'Change in Proportion Layers'!$A$8:$Y$324,6,FALSE)+VLOOKUP(A293,'Change in Proportion Layers'!$A$8:$Y$324,13,FALSE)</f>
        <v>-94140</v>
      </c>
      <c r="U293" s="64">
        <f>+O293+VLOOKUP(A293,'Change in Proportion Layers'!$A$8:$Y$324,7,FALSE)</f>
        <v>-49432</v>
      </c>
      <c r="W293" s="64">
        <f>('OPEB Amounts_Report'!H292-'OPEB Amounts_Report'!M292)</f>
        <v>-345184</v>
      </c>
      <c r="X293" s="129">
        <f>SUM(Q293:U293)-('OPEB Amounts_Report'!H293-'OPEB Amounts_Report'!M293)</f>
        <v>0</v>
      </c>
    </row>
    <row r="294" spans="1:24">
      <c r="A294" s="184">
        <v>2130</v>
      </c>
      <c r="B294" s="185" t="s">
        <v>278</v>
      </c>
      <c r="C294" s="63">
        <f t="shared" si="6"/>
        <v>-51519</v>
      </c>
      <c r="D294" s="63">
        <f t="shared" si="6"/>
        <v>-46561</v>
      </c>
      <c r="E294" s="63">
        <f t="shared" si="6"/>
        <v>-26828</v>
      </c>
      <c r="F294" s="63">
        <f t="shared" si="6"/>
        <v>-29636</v>
      </c>
      <c r="G294" s="63">
        <f t="shared" si="6"/>
        <v>-19932</v>
      </c>
      <c r="I294" s="186"/>
      <c r="K294" s="64">
        <f>ROUND(VLOOKUP($A294,'Contribution Allocation_Report'!$A$9:$D$311,4,FALSE)*$K$326,0)</f>
        <v>-41099</v>
      </c>
      <c r="L294" s="64">
        <f>ROUND(VLOOKUP($A294,'Contribution Allocation_Report'!$A$9:$D$311,4,FALSE)*$L$326,0)</f>
        <v>-29865</v>
      </c>
      <c r="M294" s="64">
        <f>ROUND(VLOOKUP($A294,'Contribution Allocation_Report'!$A$9:$D$311,4,FALSE)*$M$326,0)</f>
        <v>-18022</v>
      </c>
      <c r="N294" s="64">
        <f>ROUND(VLOOKUP($A294,'Contribution Allocation_Report'!$A$9:$D$311,4,FALSE)*$N$326,0)</f>
        <v>-27172</v>
      </c>
      <c r="O294" s="64">
        <f>ROUND(VLOOKUP($A294,'Contribution Allocation_Report'!$A$9:$D$311,4,FALSE)*$O$326,0)</f>
        <v>-15479</v>
      </c>
      <c r="Q294" s="64">
        <f>+K294+VLOOKUP(A294,'Change in Proportion Layers'!$A$8:$N$324,3,FALSE)+VLOOKUP(A294,'Change in Proportion Layers'!$A$8:$Y$324,10,FALSE)+VLOOKUP(A294,'Change in Proportion Layers'!$A$8:$Y$324,16,FALSE)+VLOOKUP(A294,'Change in Proportion Layers'!$A$8:$Y$324,21,FALSE)+VLOOKUP(A294,'Change in Proportion Layers'!$A$8:$Y$324,25,FALSE)</f>
        <v>-51519</v>
      </c>
      <c r="R294" s="64">
        <f>+L294+VLOOKUP(A294,'Change in Proportion Layers'!$A$8:$Y$324,4,FALSE)+VLOOKUP(A294,'Change in Proportion Layers'!$A$8:$Y$324,11,FALSE)+VLOOKUP(A294,'Change in Proportion Layers'!$A$8:$Y$324,17,FALSE)+VLOOKUP(A294,'Change in Proportion Layers'!$A$8:$Y$324,22,FALSE)</f>
        <v>-46561</v>
      </c>
      <c r="S294" s="64">
        <f>+M294+VLOOKUP(A294,'Change in Proportion Layers'!$A$8:$Y$324,5,FALSE)+VLOOKUP(A294,'Change in Proportion Layers'!$A$8:$Y$324,12,FALSE)+VLOOKUP(A294,'Change in Proportion Layers'!$A$8:$Y$324,18,FALSE)</f>
        <v>-26828</v>
      </c>
      <c r="T294" s="64">
        <f>+N294+VLOOKUP(A294,'Change in Proportion Layers'!$A$8:$Y$324,6,FALSE)+VLOOKUP(A294,'Change in Proportion Layers'!$A$8:$Y$324,13,FALSE)</f>
        <v>-29636</v>
      </c>
      <c r="U294" s="64">
        <f>+O294+VLOOKUP(A294,'Change in Proportion Layers'!$A$8:$Y$324,7,FALSE)</f>
        <v>-19932</v>
      </c>
      <c r="W294" s="64">
        <f>('OPEB Amounts_Report'!H293-'OPEB Amounts_Report'!M293)</f>
        <v>-443504</v>
      </c>
      <c r="X294" s="129">
        <f>SUM(Q294:U294)-('OPEB Amounts_Report'!H294-'OPEB Amounts_Report'!M294)</f>
        <v>0</v>
      </c>
    </row>
    <row r="295" spans="1:24">
      <c r="A295" s="187">
        <v>32099</v>
      </c>
      <c r="B295" s="188" t="s">
        <v>279</v>
      </c>
      <c r="C295" s="5">
        <f t="shared" si="6"/>
        <v>-63835</v>
      </c>
      <c r="D295" s="5">
        <f t="shared" si="6"/>
        <v>-45601</v>
      </c>
      <c r="E295" s="5">
        <f t="shared" si="6"/>
        <v>-29499</v>
      </c>
      <c r="F295" s="5">
        <f t="shared" si="6"/>
        <v>-23037</v>
      </c>
      <c r="G295" s="5">
        <f t="shared" si="6"/>
        <v>-11813</v>
      </c>
      <c r="I295" s="186"/>
      <c r="K295" s="64">
        <f>ROUND(VLOOKUP($A295,'Contribution Allocation_Report'!$A$9:$D$311,4,FALSE)*$K$326,0)</f>
        <v>-49040</v>
      </c>
      <c r="L295" s="64">
        <f>ROUND(VLOOKUP($A295,'Contribution Allocation_Report'!$A$9:$D$311,4,FALSE)*$L$326,0)</f>
        <v>-35635</v>
      </c>
      <c r="M295" s="64">
        <f>ROUND(VLOOKUP($A295,'Contribution Allocation_Report'!$A$9:$D$311,4,FALSE)*$M$326,0)</f>
        <v>-21505</v>
      </c>
      <c r="N295" s="64">
        <f>ROUND(VLOOKUP($A295,'Contribution Allocation_Report'!$A$9:$D$311,4,FALSE)*$N$326,0)</f>
        <v>-32422</v>
      </c>
      <c r="O295" s="64">
        <f>ROUND(VLOOKUP($A295,'Contribution Allocation_Report'!$A$9:$D$311,4,FALSE)*$O$326,0)</f>
        <v>-18470</v>
      </c>
      <c r="Q295" s="64">
        <f>+K295+VLOOKUP(A295,'Change in Proportion Layers'!$A$8:$N$324,3,FALSE)+VLOOKUP(A295,'Change in Proportion Layers'!$A$8:$Y$324,10,FALSE)+VLOOKUP(A295,'Change in Proportion Layers'!$A$8:$Y$324,16,FALSE)+VLOOKUP(A295,'Change in Proportion Layers'!$A$8:$Y$324,21,FALSE)+VLOOKUP(A295,'Change in Proportion Layers'!$A$8:$Y$324,25,FALSE)</f>
        <v>-63835</v>
      </c>
      <c r="R295" s="64">
        <f>+L295+VLOOKUP(A295,'Change in Proportion Layers'!$A$8:$Y$324,4,FALSE)+VLOOKUP(A295,'Change in Proportion Layers'!$A$8:$Y$324,11,FALSE)+VLOOKUP(A295,'Change in Proportion Layers'!$A$8:$Y$324,17,FALSE)+VLOOKUP(A295,'Change in Proportion Layers'!$A$8:$Y$324,22,FALSE)</f>
        <v>-45601</v>
      </c>
      <c r="S295" s="64">
        <f>+M295+VLOOKUP(A295,'Change in Proportion Layers'!$A$8:$Y$324,5,FALSE)+VLOOKUP(A295,'Change in Proportion Layers'!$A$8:$Y$324,12,FALSE)+VLOOKUP(A295,'Change in Proportion Layers'!$A$8:$Y$324,18,FALSE)</f>
        <v>-29499</v>
      </c>
      <c r="T295" s="64">
        <f>+N295+VLOOKUP(A295,'Change in Proportion Layers'!$A$8:$Y$324,6,FALSE)+VLOOKUP(A295,'Change in Proportion Layers'!$A$8:$Y$324,13,FALSE)</f>
        <v>-23037</v>
      </c>
      <c r="U295" s="64">
        <f>+O295+VLOOKUP(A295,'Change in Proportion Layers'!$A$8:$Y$324,7,FALSE)+1</f>
        <v>-11813</v>
      </c>
      <c r="W295" s="64">
        <f>('OPEB Amounts_Report'!H294-'OPEB Amounts_Report'!M294)</f>
        <v>-174476</v>
      </c>
      <c r="X295" s="129">
        <f>SUM(Q295:U295)-('OPEB Amounts_Report'!H295-'OPEB Amounts_Report'!M295)</f>
        <v>0</v>
      </c>
    </row>
    <row r="296" spans="1:24">
      <c r="A296" s="184">
        <v>32100</v>
      </c>
      <c r="B296" s="185" t="s">
        <v>280</v>
      </c>
      <c r="C296" s="63">
        <f t="shared" si="6"/>
        <v>-78986</v>
      </c>
      <c r="D296" s="63">
        <f t="shared" si="6"/>
        <v>-69780</v>
      </c>
      <c r="E296" s="63">
        <f t="shared" si="6"/>
        <v>-41413</v>
      </c>
      <c r="F296" s="63">
        <f t="shared" si="6"/>
        <v>-48965</v>
      </c>
      <c r="G296" s="63">
        <f t="shared" si="6"/>
        <v>-31088</v>
      </c>
      <c r="I296" s="186"/>
      <c r="K296" s="64">
        <f>ROUND(VLOOKUP($A296,'Contribution Allocation_Report'!$A$9:$D$311,4,FALSE)*$K$326,0)</f>
        <v>-104007</v>
      </c>
      <c r="L296" s="64">
        <f>ROUND(VLOOKUP($A296,'Contribution Allocation_Report'!$A$9:$D$311,4,FALSE)*$L$326,0)</f>
        <v>-75578</v>
      </c>
      <c r="M296" s="64">
        <f>ROUND(VLOOKUP($A296,'Contribution Allocation_Report'!$A$9:$D$311,4,FALSE)*$M$326,0)</f>
        <v>-45608</v>
      </c>
      <c r="N296" s="64">
        <f>ROUND(VLOOKUP($A296,'Contribution Allocation_Report'!$A$9:$D$311,4,FALSE)*$N$326,0)</f>
        <v>-68762</v>
      </c>
      <c r="O296" s="64">
        <f>ROUND(VLOOKUP($A296,'Contribution Allocation_Report'!$A$9:$D$311,4,FALSE)*$O$326,0)</f>
        <v>-39172</v>
      </c>
      <c r="Q296" s="64">
        <f>+K296+VLOOKUP(A296,'Change in Proportion Layers'!$A$8:$N$324,3,FALSE)+VLOOKUP(A296,'Change in Proportion Layers'!$A$8:$Y$324,10,FALSE)+VLOOKUP(A296,'Change in Proportion Layers'!$A$8:$Y$324,16,FALSE)+VLOOKUP(A296,'Change in Proportion Layers'!$A$8:$Y$324,21,FALSE)+VLOOKUP(A296,'Change in Proportion Layers'!$A$8:$Y$324,25,FALSE)</f>
        <v>-78986</v>
      </c>
      <c r="R296" s="64">
        <f>+L296+VLOOKUP(A296,'Change in Proportion Layers'!$A$8:$Y$324,4,FALSE)+VLOOKUP(A296,'Change in Proportion Layers'!$A$8:$Y$324,11,FALSE)+VLOOKUP(A296,'Change in Proportion Layers'!$A$8:$Y$324,17,FALSE)+VLOOKUP(A296,'Change in Proportion Layers'!$A$8:$Y$324,22,FALSE)</f>
        <v>-69780</v>
      </c>
      <c r="S296" s="64">
        <f>+M296+VLOOKUP(A296,'Change in Proportion Layers'!$A$8:$Y$324,5,FALSE)+VLOOKUP(A296,'Change in Proportion Layers'!$A$8:$Y$324,12,FALSE)+VLOOKUP(A296,'Change in Proportion Layers'!$A$8:$Y$324,18,FALSE)-1</f>
        <v>-41413</v>
      </c>
      <c r="T296" s="64">
        <f>+N296+VLOOKUP(A296,'Change in Proportion Layers'!$A$8:$Y$324,6,FALSE)+VLOOKUP(A296,'Change in Proportion Layers'!$A$8:$Y$324,13,FALSE)</f>
        <v>-48965</v>
      </c>
      <c r="U296" s="64">
        <f>+O296+VLOOKUP(A296,'Change in Proportion Layers'!$A$8:$Y$324,7,FALSE)</f>
        <v>-31088</v>
      </c>
      <c r="W296" s="64">
        <f>('OPEB Amounts_Report'!H295-'OPEB Amounts_Report'!M295)</f>
        <v>-173785</v>
      </c>
      <c r="X296" s="129">
        <f>SUM(Q296:U296)-('OPEB Amounts_Report'!H296-'OPEB Amounts_Report'!M296)</f>
        <v>0</v>
      </c>
    </row>
    <row r="297" spans="1:24">
      <c r="A297" s="187">
        <v>32101</v>
      </c>
      <c r="B297" s="188" t="s">
        <v>281</v>
      </c>
      <c r="C297" s="5">
        <f t="shared" si="6"/>
        <v>-35103</v>
      </c>
      <c r="D297" s="5">
        <f t="shared" si="6"/>
        <v>-24106</v>
      </c>
      <c r="E297" s="5">
        <f t="shared" si="6"/>
        <v>-19017</v>
      </c>
      <c r="F297" s="5">
        <f t="shared" si="6"/>
        <v>-24301</v>
      </c>
      <c r="G297" s="5">
        <f t="shared" si="6"/>
        <v>24220</v>
      </c>
      <c r="I297" s="186"/>
      <c r="K297" s="64">
        <f>ROUND(VLOOKUP($A297,'Contribution Allocation_Report'!$A$9:$D$311,4,FALSE)*$K$326,0)</f>
        <v>-29713</v>
      </c>
      <c r="L297" s="64">
        <f>ROUND(VLOOKUP($A297,'Contribution Allocation_Report'!$A$9:$D$311,4,FALSE)*$L$326,0)</f>
        <v>-21591</v>
      </c>
      <c r="M297" s="64">
        <f>ROUND(VLOOKUP($A297,'Contribution Allocation_Report'!$A$9:$D$311,4,FALSE)*$M$326,0)</f>
        <v>-13030</v>
      </c>
      <c r="N297" s="64">
        <f>ROUND(VLOOKUP($A297,'Contribution Allocation_Report'!$A$9:$D$311,4,FALSE)*$N$326,0)</f>
        <v>-19644</v>
      </c>
      <c r="O297" s="64">
        <f>ROUND(VLOOKUP($A297,'Contribution Allocation_Report'!$A$9:$D$311,4,FALSE)*$O$326,0)</f>
        <v>-11191</v>
      </c>
      <c r="Q297" s="64">
        <f>+K297+VLOOKUP(A297,'Change in Proportion Layers'!$A$8:$N$324,3,FALSE)+VLOOKUP(A297,'Change in Proportion Layers'!$A$8:$Y$324,10,FALSE)+VLOOKUP(A297,'Change in Proportion Layers'!$A$8:$Y$324,16,FALSE)+VLOOKUP(A297,'Change in Proportion Layers'!$A$8:$Y$324,21,FALSE)+VLOOKUP(A297,'Change in Proportion Layers'!$A$8:$Y$324,25,FALSE)</f>
        <v>-35103</v>
      </c>
      <c r="R297" s="64">
        <f>+L297+VLOOKUP(A297,'Change in Proportion Layers'!$A$8:$Y$324,4,FALSE)+VLOOKUP(A297,'Change in Proportion Layers'!$A$8:$Y$324,11,FALSE)+VLOOKUP(A297,'Change in Proportion Layers'!$A$8:$Y$324,17,FALSE)+VLOOKUP(A297,'Change in Proportion Layers'!$A$8:$Y$324,22,FALSE)</f>
        <v>-24106</v>
      </c>
      <c r="S297" s="64">
        <f>+M297+VLOOKUP(A297,'Change in Proportion Layers'!$A$8:$Y$324,5,FALSE)+VLOOKUP(A297,'Change in Proportion Layers'!$A$8:$Y$324,12,FALSE)+VLOOKUP(A297,'Change in Proportion Layers'!$A$8:$Y$324,18,FALSE)-1</f>
        <v>-19017</v>
      </c>
      <c r="T297" s="64">
        <f>+N297+VLOOKUP(A297,'Change in Proportion Layers'!$A$8:$Y$324,6,FALSE)+VLOOKUP(A297,'Change in Proportion Layers'!$A$8:$Y$324,13,FALSE)</f>
        <v>-24301</v>
      </c>
      <c r="U297" s="64">
        <f>+O297+VLOOKUP(A297,'Change in Proportion Layers'!$A$8:$Y$324,7,FALSE)</f>
        <v>24220</v>
      </c>
      <c r="W297" s="64">
        <f>('OPEB Amounts_Report'!H296-'OPEB Amounts_Report'!M296)</f>
        <v>-270232</v>
      </c>
      <c r="X297" s="129">
        <f>SUM(Q297:U297)-('OPEB Amounts_Report'!H297-'OPEB Amounts_Report'!M297)</f>
        <v>0</v>
      </c>
    </row>
    <row r="298" spans="1:24">
      <c r="A298" s="184">
        <v>32102</v>
      </c>
      <c r="B298" s="185" t="s">
        <v>282</v>
      </c>
      <c r="C298" s="63">
        <f t="shared" si="6"/>
        <v>-62550</v>
      </c>
      <c r="D298" s="63">
        <f t="shared" si="6"/>
        <v>-39462</v>
      </c>
      <c r="E298" s="63">
        <f t="shared" si="6"/>
        <v>-28301</v>
      </c>
      <c r="F298" s="63">
        <f t="shared" si="6"/>
        <v>-37509</v>
      </c>
      <c r="G298" s="63">
        <f t="shared" si="6"/>
        <v>-24967</v>
      </c>
      <c r="I298" s="186"/>
      <c r="K298" s="64">
        <f>ROUND(VLOOKUP($A298,'Contribution Allocation_Report'!$A$9:$D$311,4,FALSE)*$K$326,0)</f>
        <v>-55742</v>
      </c>
      <c r="L298" s="64">
        <f>ROUND(VLOOKUP($A298,'Contribution Allocation_Report'!$A$9:$D$311,4,FALSE)*$L$326,0)</f>
        <v>-40506</v>
      </c>
      <c r="M298" s="64">
        <f>ROUND(VLOOKUP($A298,'Contribution Allocation_Report'!$A$9:$D$311,4,FALSE)*$M$326,0)</f>
        <v>-24444</v>
      </c>
      <c r="N298" s="64">
        <f>ROUND(VLOOKUP($A298,'Contribution Allocation_Report'!$A$9:$D$311,4,FALSE)*$N$326,0)</f>
        <v>-36853</v>
      </c>
      <c r="O298" s="64">
        <f>ROUND(VLOOKUP($A298,'Contribution Allocation_Report'!$A$9:$D$311,4,FALSE)*$O$326,0)</f>
        <v>-20994</v>
      </c>
      <c r="Q298" s="64">
        <f>+K298+VLOOKUP(A298,'Change in Proportion Layers'!$A$8:$N$324,3,FALSE)+VLOOKUP(A298,'Change in Proportion Layers'!$A$8:$Y$324,10,FALSE)+VLOOKUP(A298,'Change in Proportion Layers'!$A$8:$Y$324,16,FALSE)+VLOOKUP(A298,'Change in Proportion Layers'!$A$8:$Y$324,21,FALSE)+VLOOKUP(A298,'Change in Proportion Layers'!$A$8:$Y$324,25,FALSE)</f>
        <v>-62550</v>
      </c>
      <c r="R298" s="64">
        <f>+L298+VLOOKUP(A298,'Change in Proportion Layers'!$A$8:$Y$324,4,FALSE)+VLOOKUP(A298,'Change in Proportion Layers'!$A$8:$Y$324,11,FALSE)+VLOOKUP(A298,'Change in Proportion Layers'!$A$8:$Y$324,17,FALSE)+VLOOKUP(A298,'Change in Proportion Layers'!$A$8:$Y$324,22,FALSE)</f>
        <v>-39462</v>
      </c>
      <c r="S298" s="64">
        <f>+M298+VLOOKUP(A298,'Change in Proportion Layers'!$A$8:$Y$324,5,FALSE)+VLOOKUP(A298,'Change in Proportion Layers'!$A$8:$Y$324,12,FALSE)+VLOOKUP(A298,'Change in Proportion Layers'!$A$8:$Y$324,18,FALSE)</f>
        <v>-28301</v>
      </c>
      <c r="T298" s="64">
        <f>+N298+VLOOKUP(A298,'Change in Proportion Layers'!$A$8:$Y$324,6,FALSE)+VLOOKUP(A298,'Change in Proportion Layers'!$A$8:$Y$324,13,FALSE)</f>
        <v>-37509</v>
      </c>
      <c r="U298" s="64">
        <f>+O298+VLOOKUP(A298,'Change in Proportion Layers'!$A$8:$Y$324,7,FALSE)</f>
        <v>-24967</v>
      </c>
      <c r="W298" s="64">
        <f>('OPEB Amounts_Report'!H297-'OPEB Amounts_Report'!M297)</f>
        <v>-78307</v>
      </c>
      <c r="X298" s="129">
        <f>SUM(Q298:U298)-('OPEB Amounts_Report'!H298-'OPEB Amounts_Report'!M298)</f>
        <v>0</v>
      </c>
    </row>
    <row r="299" spans="1:24">
      <c r="A299" s="187">
        <v>2880</v>
      </c>
      <c r="B299" s="188" t="s">
        <v>283</v>
      </c>
      <c r="C299" s="5">
        <f t="shared" si="6"/>
        <v>-17562</v>
      </c>
      <c r="D299" s="5">
        <f t="shared" si="6"/>
        <v>-15013</v>
      </c>
      <c r="E299" s="5">
        <f t="shared" si="6"/>
        <v>-6946</v>
      </c>
      <c r="F299" s="5">
        <f t="shared" si="6"/>
        <v>-10619</v>
      </c>
      <c r="G299" s="5">
        <f t="shared" si="6"/>
        <v>-10634</v>
      </c>
      <c r="I299" s="186"/>
      <c r="K299" s="64">
        <f>ROUND(VLOOKUP($A299,'Contribution Allocation_Report'!$A$9:$D$311,4,FALSE)*$K$326,0)</f>
        <v>-16776</v>
      </c>
      <c r="L299" s="64">
        <f>ROUND(VLOOKUP($A299,'Contribution Allocation_Report'!$A$9:$D$311,4,FALSE)*$L$326,0)</f>
        <v>-12191</v>
      </c>
      <c r="M299" s="64">
        <f>ROUND(VLOOKUP($A299,'Contribution Allocation_Report'!$A$9:$D$311,4,FALSE)*$M$326,0)</f>
        <v>-7357</v>
      </c>
      <c r="N299" s="64">
        <f>ROUND(VLOOKUP($A299,'Contribution Allocation_Report'!$A$9:$D$311,4,FALSE)*$N$326,0)</f>
        <v>-11091</v>
      </c>
      <c r="O299" s="64">
        <f>ROUND(VLOOKUP($A299,'Contribution Allocation_Report'!$A$9:$D$311,4,FALSE)*$O$326,0)</f>
        <v>-6318</v>
      </c>
      <c r="Q299" s="64">
        <f>+K299+VLOOKUP(A299,'Change in Proportion Layers'!$A$8:$N$324,3,FALSE)+VLOOKUP(A299,'Change in Proportion Layers'!$A$8:$Y$324,10,FALSE)+VLOOKUP(A299,'Change in Proportion Layers'!$A$8:$Y$324,16,FALSE)+VLOOKUP(A299,'Change in Proportion Layers'!$A$8:$Y$324,21,FALSE)+VLOOKUP(A299,'Change in Proportion Layers'!$A$8:$Y$324,25,FALSE)</f>
        <v>-17562</v>
      </c>
      <c r="R299" s="64">
        <f>+L299+VLOOKUP(A299,'Change in Proportion Layers'!$A$8:$Y$324,4,FALSE)+VLOOKUP(A299,'Change in Proportion Layers'!$A$8:$Y$324,11,FALSE)+VLOOKUP(A299,'Change in Proportion Layers'!$A$8:$Y$324,17,FALSE)+VLOOKUP(A299,'Change in Proportion Layers'!$A$8:$Y$324,22,FALSE)</f>
        <v>-15013</v>
      </c>
      <c r="S299" s="64">
        <f>+M299+VLOOKUP(A299,'Change in Proportion Layers'!$A$8:$Y$324,5,FALSE)+VLOOKUP(A299,'Change in Proportion Layers'!$A$8:$Y$324,12,FALSE)+VLOOKUP(A299,'Change in Proportion Layers'!$A$8:$Y$324,18,FALSE)-1</f>
        <v>-6946</v>
      </c>
      <c r="T299" s="64">
        <f>+N299+VLOOKUP(A299,'Change in Proportion Layers'!$A$8:$Y$324,6,FALSE)+VLOOKUP(A299,'Change in Proportion Layers'!$A$8:$Y$324,13,FALSE)</f>
        <v>-10619</v>
      </c>
      <c r="U299" s="64">
        <f>+O299+VLOOKUP(A299,'Change in Proportion Layers'!$A$8:$Y$324,7,FALSE)</f>
        <v>-10634</v>
      </c>
      <c r="W299" s="64">
        <f>('OPEB Amounts_Report'!H298-'OPEB Amounts_Report'!M298)</f>
        <v>-192789</v>
      </c>
      <c r="X299" s="129">
        <f>SUM(Q299:U299)-('OPEB Amounts_Report'!H299-'OPEB Amounts_Report'!M299)</f>
        <v>0</v>
      </c>
    </row>
    <row r="300" spans="1:24">
      <c r="A300" s="184">
        <v>2490</v>
      </c>
      <c r="B300" s="185" t="s">
        <v>284</v>
      </c>
      <c r="C300" s="63">
        <f t="shared" si="6"/>
        <v>-154089</v>
      </c>
      <c r="D300" s="63">
        <f t="shared" si="6"/>
        <v>-128617</v>
      </c>
      <c r="E300" s="63">
        <f t="shared" si="6"/>
        <v>-102230</v>
      </c>
      <c r="F300" s="63">
        <f t="shared" si="6"/>
        <v>-91601</v>
      </c>
      <c r="G300" s="63">
        <f t="shared" si="6"/>
        <v>-57662</v>
      </c>
      <c r="I300" s="186"/>
      <c r="K300" s="64">
        <f>ROUND(VLOOKUP($A300,'Contribution Allocation_Report'!$A$9:$D$311,4,FALSE)*$K$326,0)</f>
        <v>-124000</v>
      </c>
      <c r="L300" s="64">
        <f>ROUND(VLOOKUP($A300,'Contribution Allocation_Report'!$A$9:$D$311,4,FALSE)*$L$326,0)</f>
        <v>-90105</v>
      </c>
      <c r="M300" s="64">
        <f>ROUND(VLOOKUP($A300,'Contribution Allocation_Report'!$A$9:$D$311,4,FALSE)*$M$326,0)</f>
        <v>-54375</v>
      </c>
      <c r="N300" s="64">
        <f>ROUND(VLOOKUP($A300,'Contribution Allocation_Report'!$A$9:$D$311,4,FALSE)*$N$326,0)</f>
        <v>-81980</v>
      </c>
      <c r="O300" s="64">
        <f>ROUND(VLOOKUP($A300,'Contribution Allocation_Report'!$A$9:$D$311,4,FALSE)*$O$326,0)</f>
        <v>-46701</v>
      </c>
      <c r="Q300" s="64">
        <f>+K300+VLOOKUP(A300,'Change in Proportion Layers'!$A$8:$N$324,3,FALSE)+VLOOKUP(A300,'Change in Proportion Layers'!$A$8:$Y$324,10,FALSE)+VLOOKUP(A300,'Change in Proportion Layers'!$A$8:$Y$324,16,FALSE)+VLOOKUP(A300,'Change in Proportion Layers'!$A$8:$Y$324,21,FALSE)+VLOOKUP(A300,'Change in Proportion Layers'!$A$8:$Y$324,25,FALSE)</f>
        <v>-154089</v>
      </c>
      <c r="R300" s="64">
        <f>+L300+VLOOKUP(A300,'Change in Proportion Layers'!$A$8:$Y$324,4,FALSE)+VLOOKUP(A300,'Change in Proportion Layers'!$A$8:$Y$324,11,FALSE)+VLOOKUP(A300,'Change in Proportion Layers'!$A$8:$Y$324,17,FALSE)+VLOOKUP(A300,'Change in Proportion Layers'!$A$8:$Y$324,22,FALSE)</f>
        <v>-128617</v>
      </c>
      <c r="S300" s="64">
        <f>+M300+VLOOKUP(A300,'Change in Proportion Layers'!$A$8:$Y$324,5,FALSE)+VLOOKUP(A300,'Change in Proportion Layers'!$A$8:$Y$324,12,FALSE)+VLOOKUP(A300,'Change in Proportion Layers'!$A$8:$Y$324,18,FALSE)</f>
        <v>-102230</v>
      </c>
      <c r="T300" s="64">
        <f>+N300+VLOOKUP(A300,'Change in Proportion Layers'!$A$8:$Y$324,6,FALSE)+VLOOKUP(A300,'Change in Proportion Layers'!$A$8:$Y$324,13,FALSE)</f>
        <v>-91601</v>
      </c>
      <c r="U300" s="64">
        <f>+O300+VLOOKUP(A300,'Change in Proportion Layers'!$A$8:$Y$324,7,FALSE)</f>
        <v>-57662</v>
      </c>
      <c r="W300" s="64">
        <f>('OPEB Amounts_Report'!H299-'OPEB Amounts_Report'!M299)</f>
        <v>-60774</v>
      </c>
      <c r="X300" s="129">
        <f>SUM(Q300:U300)-('OPEB Amounts_Report'!H300-'OPEB Amounts_Report'!M300)</f>
        <v>0</v>
      </c>
    </row>
    <row r="301" spans="1:24">
      <c r="A301" s="187">
        <v>2530</v>
      </c>
      <c r="B301" s="188" t="s">
        <v>285</v>
      </c>
      <c r="C301" s="5">
        <f t="shared" si="6"/>
        <v>-35025</v>
      </c>
      <c r="D301" s="5">
        <f t="shared" si="6"/>
        <v>-30329</v>
      </c>
      <c r="E301" s="5">
        <f t="shared" si="6"/>
        <v>-30839</v>
      </c>
      <c r="F301" s="5">
        <f t="shared" si="6"/>
        <v>-29600</v>
      </c>
      <c r="G301" s="5">
        <f t="shared" si="6"/>
        <v>8319</v>
      </c>
      <c r="I301" s="186"/>
      <c r="K301" s="64">
        <f>ROUND(VLOOKUP($A301,'Contribution Allocation_Report'!$A$9:$D$311,4,FALSE)*$K$326,0)</f>
        <v>-27268</v>
      </c>
      <c r="L301" s="64">
        <f>ROUND(VLOOKUP($A301,'Contribution Allocation_Report'!$A$9:$D$311,4,FALSE)*$L$326,0)</f>
        <v>-19814</v>
      </c>
      <c r="M301" s="64">
        <f>ROUND(VLOOKUP($A301,'Contribution Allocation_Report'!$A$9:$D$311,4,FALSE)*$M$326,0)</f>
        <v>-11957</v>
      </c>
      <c r="N301" s="64">
        <f>ROUND(VLOOKUP($A301,'Contribution Allocation_Report'!$A$9:$D$311,4,FALSE)*$N$326,0)</f>
        <v>-18028</v>
      </c>
      <c r="O301" s="64">
        <f>ROUND(VLOOKUP($A301,'Contribution Allocation_Report'!$A$9:$D$311,4,FALSE)*$O$326,0)</f>
        <v>-10270</v>
      </c>
      <c r="Q301" s="64">
        <f>+K301+VLOOKUP(A301,'Change in Proportion Layers'!$A$8:$N$324,3,FALSE)+VLOOKUP(A301,'Change in Proportion Layers'!$A$8:$Y$324,10,FALSE)+VLOOKUP(A301,'Change in Proportion Layers'!$A$8:$Y$324,16,FALSE)+VLOOKUP(A301,'Change in Proportion Layers'!$A$8:$Y$324,21,FALSE)+VLOOKUP(A301,'Change in Proportion Layers'!$A$8:$Y$324,25,FALSE)</f>
        <v>-35025</v>
      </c>
      <c r="R301" s="64">
        <f>+L301+VLOOKUP(A301,'Change in Proportion Layers'!$A$8:$Y$324,4,FALSE)+VLOOKUP(A301,'Change in Proportion Layers'!$A$8:$Y$324,11,FALSE)+VLOOKUP(A301,'Change in Proportion Layers'!$A$8:$Y$324,17,FALSE)+VLOOKUP(A301,'Change in Proportion Layers'!$A$8:$Y$324,22,FALSE)</f>
        <v>-30329</v>
      </c>
      <c r="S301" s="64">
        <f>+M301+VLOOKUP(A301,'Change in Proportion Layers'!$A$8:$Y$324,5,FALSE)+VLOOKUP(A301,'Change in Proportion Layers'!$A$8:$Y$324,12,FALSE)+VLOOKUP(A301,'Change in Proportion Layers'!$A$8:$Y$324,18,FALSE)</f>
        <v>-30839</v>
      </c>
      <c r="T301" s="64">
        <f>+N301+VLOOKUP(A301,'Change in Proportion Layers'!$A$8:$Y$324,6,FALSE)+VLOOKUP(A301,'Change in Proportion Layers'!$A$8:$Y$324,13,FALSE)</f>
        <v>-29600</v>
      </c>
      <c r="U301" s="64">
        <f>+O301+VLOOKUP(A301,'Change in Proportion Layers'!$A$8:$Y$324,7,FALSE)</f>
        <v>8319</v>
      </c>
      <c r="W301" s="64">
        <f>('OPEB Amounts_Report'!H300-'OPEB Amounts_Report'!M300)</f>
        <v>-534199</v>
      </c>
      <c r="X301" s="129">
        <f>SUM(Q301:U301)-('OPEB Amounts_Report'!H301-'OPEB Amounts_Report'!M301)</f>
        <v>0</v>
      </c>
    </row>
    <row r="302" spans="1:24">
      <c r="A302" s="184">
        <v>2560</v>
      </c>
      <c r="B302" s="185" t="s">
        <v>286</v>
      </c>
      <c r="C302" s="63">
        <f t="shared" si="6"/>
        <v>-61128</v>
      </c>
      <c r="D302" s="63">
        <f t="shared" si="6"/>
        <v>-45690</v>
      </c>
      <c r="E302" s="63">
        <f t="shared" si="6"/>
        <v>-42805</v>
      </c>
      <c r="F302" s="63">
        <f t="shared" si="6"/>
        <v>-44549</v>
      </c>
      <c r="G302" s="63">
        <f t="shared" si="6"/>
        <v>-14913</v>
      </c>
      <c r="I302" s="186"/>
      <c r="K302" s="64">
        <f>ROUND(VLOOKUP($A302,'Contribution Allocation_Report'!$A$9:$D$311,4,FALSE)*$K$326,0)</f>
        <v>-43104</v>
      </c>
      <c r="L302" s="64">
        <f>ROUND(VLOOKUP($A302,'Contribution Allocation_Report'!$A$9:$D$311,4,FALSE)*$L$326,0)</f>
        <v>-31322</v>
      </c>
      <c r="M302" s="64">
        <f>ROUND(VLOOKUP($A302,'Contribution Allocation_Report'!$A$9:$D$311,4,FALSE)*$M$326,0)</f>
        <v>-18902</v>
      </c>
      <c r="N302" s="64">
        <f>ROUND(VLOOKUP($A302,'Contribution Allocation_Report'!$A$9:$D$311,4,FALSE)*$N$326,0)</f>
        <v>-28497</v>
      </c>
      <c r="O302" s="64">
        <f>ROUND(VLOOKUP($A302,'Contribution Allocation_Report'!$A$9:$D$311,4,FALSE)*$O$326,0)</f>
        <v>-16234</v>
      </c>
      <c r="Q302" s="64">
        <f>+K302+VLOOKUP(A302,'Change in Proportion Layers'!$A$8:$N$324,3,FALSE)+VLOOKUP(A302,'Change in Proportion Layers'!$A$8:$Y$324,10,FALSE)+VLOOKUP(A302,'Change in Proportion Layers'!$A$8:$Y$324,16,FALSE)+VLOOKUP(A302,'Change in Proportion Layers'!$A$8:$Y$324,21,FALSE)+VLOOKUP(A302,'Change in Proportion Layers'!$A$8:$Y$324,25,FALSE)</f>
        <v>-61128</v>
      </c>
      <c r="R302" s="64">
        <f>+L302+VLOOKUP(A302,'Change in Proportion Layers'!$A$8:$Y$324,4,FALSE)+VLOOKUP(A302,'Change in Proportion Layers'!$A$8:$Y$324,11,FALSE)+VLOOKUP(A302,'Change in Proportion Layers'!$A$8:$Y$324,17,FALSE)+VLOOKUP(A302,'Change in Proportion Layers'!$A$8:$Y$324,22,FALSE)</f>
        <v>-45690</v>
      </c>
      <c r="S302" s="64">
        <f>+M302+VLOOKUP(A302,'Change in Proportion Layers'!$A$8:$Y$324,5,FALSE)+VLOOKUP(A302,'Change in Proportion Layers'!$A$8:$Y$324,12,FALSE)+VLOOKUP(A302,'Change in Proportion Layers'!$A$8:$Y$324,18,FALSE)</f>
        <v>-42805</v>
      </c>
      <c r="T302" s="64">
        <f>+N302+VLOOKUP(A302,'Change in Proportion Layers'!$A$8:$Y$324,6,FALSE)+VLOOKUP(A302,'Change in Proportion Layers'!$A$8:$Y$324,13,FALSE)</f>
        <v>-44549</v>
      </c>
      <c r="U302" s="64">
        <f>+O302+VLOOKUP(A302,'Change in Proportion Layers'!$A$8:$Y$324,7,FALSE)</f>
        <v>-14913</v>
      </c>
      <c r="W302" s="64">
        <f>('OPEB Amounts_Report'!H301-'OPEB Amounts_Report'!M301)</f>
        <v>-117474</v>
      </c>
      <c r="X302" s="129">
        <f>SUM(Q302:U302)-('OPEB Amounts_Report'!H302-'OPEB Amounts_Report'!M302)</f>
        <v>0</v>
      </c>
    </row>
    <row r="303" spans="1:24">
      <c r="A303" s="187">
        <v>2610</v>
      </c>
      <c r="B303" s="188" t="s">
        <v>287</v>
      </c>
      <c r="C303" s="5">
        <f t="shared" si="6"/>
        <v>-16518</v>
      </c>
      <c r="D303" s="5">
        <f t="shared" si="6"/>
        <v>-15061</v>
      </c>
      <c r="E303" s="5">
        <f t="shared" si="6"/>
        <v>-12515</v>
      </c>
      <c r="F303" s="5">
        <f t="shared" si="6"/>
        <v>-12147</v>
      </c>
      <c r="G303" s="5">
        <f t="shared" si="6"/>
        <v>-8598</v>
      </c>
      <c r="I303" s="186"/>
      <c r="K303" s="64">
        <f>ROUND(VLOOKUP($A303,'Contribution Allocation_Report'!$A$9:$D$311,4,FALSE)*$K$326,0)</f>
        <v>-13776</v>
      </c>
      <c r="L303" s="64">
        <f>ROUND(VLOOKUP($A303,'Contribution Allocation_Report'!$A$9:$D$311,4,FALSE)*$L$326,0)</f>
        <v>-10011</v>
      </c>
      <c r="M303" s="64">
        <f>ROUND(VLOOKUP($A303,'Contribution Allocation_Report'!$A$9:$D$311,4,FALSE)*$M$326,0)</f>
        <v>-6041</v>
      </c>
      <c r="N303" s="64">
        <f>ROUND(VLOOKUP($A303,'Contribution Allocation_Report'!$A$9:$D$311,4,FALSE)*$N$326,0)</f>
        <v>-9108</v>
      </c>
      <c r="O303" s="64">
        <f>ROUND(VLOOKUP($A303,'Contribution Allocation_Report'!$A$9:$D$311,4,FALSE)*$O$326,0)</f>
        <v>-5188</v>
      </c>
      <c r="Q303" s="64">
        <f>+K303+VLOOKUP(A303,'Change in Proportion Layers'!$A$8:$N$324,3,FALSE)+VLOOKUP(A303,'Change in Proportion Layers'!$A$8:$Y$324,10,FALSE)+VLOOKUP(A303,'Change in Proportion Layers'!$A$8:$Y$324,16,FALSE)+VLOOKUP(A303,'Change in Proportion Layers'!$A$8:$Y$324,21,FALSE)+VLOOKUP(A303,'Change in Proportion Layers'!$A$8:$Y$324,25,FALSE)</f>
        <v>-16518</v>
      </c>
      <c r="R303" s="64">
        <f>+L303+VLOOKUP(A303,'Change in Proportion Layers'!$A$8:$Y$324,4,FALSE)+VLOOKUP(A303,'Change in Proportion Layers'!$A$8:$Y$324,11,FALSE)+VLOOKUP(A303,'Change in Proportion Layers'!$A$8:$Y$324,17,FALSE)+VLOOKUP(A303,'Change in Proportion Layers'!$A$8:$Y$324,22,FALSE)</f>
        <v>-15061</v>
      </c>
      <c r="S303" s="64">
        <f>+M303+VLOOKUP(A303,'Change in Proportion Layers'!$A$8:$Y$324,5,FALSE)+VLOOKUP(A303,'Change in Proportion Layers'!$A$8:$Y$324,12,FALSE)+VLOOKUP(A303,'Change in Proportion Layers'!$A$8:$Y$324,18,FALSE)</f>
        <v>-12515</v>
      </c>
      <c r="T303" s="64">
        <f>+N303+VLOOKUP(A303,'Change in Proportion Layers'!$A$8:$Y$324,6,FALSE)+VLOOKUP(A303,'Change in Proportion Layers'!$A$8:$Y$324,13,FALSE)</f>
        <v>-12147</v>
      </c>
      <c r="U303" s="64">
        <f>+O303+VLOOKUP(A303,'Change in Proportion Layers'!$A$8:$Y$324,7,FALSE)</f>
        <v>-8598</v>
      </c>
      <c r="W303" s="64">
        <f>('OPEB Amounts_Report'!H302-'OPEB Amounts_Report'!M302)</f>
        <v>-209085</v>
      </c>
      <c r="X303" s="129">
        <f>SUM(Q303:U303)-('OPEB Amounts_Report'!H303-'OPEB Amounts_Report'!M303)</f>
        <v>0</v>
      </c>
    </row>
    <row r="304" spans="1:24">
      <c r="A304" s="184">
        <v>2800</v>
      </c>
      <c r="B304" s="185" t="s">
        <v>288</v>
      </c>
      <c r="C304" s="63">
        <f t="shared" si="6"/>
        <v>-13887</v>
      </c>
      <c r="D304" s="63">
        <f t="shared" si="6"/>
        <v>-11555</v>
      </c>
      <c r="E304" s="63">
        <f t="shared" si="6"/>
        <v>2157</v>
      </c>
      <c r="F304" s="63">
        <f t="shared" si="6"/>
        <v>-22290</v>
      </c>
      <c r="G304" s="63">
        <f t="shared" si="6"/>
        <v>-13636</v>
      </c>
      <c r="I304" s="186"/>
      <c r="K304" s="64">
        <f>ROUND(VLOOKUP($A304,'Contribution Allocation_Report'!$A$9:$D$311,4,FALSE)*$K$326,0)</f>
        <v>-42608</v>
      </c>
      <c r="L304" s="64">
        <f>ROUND(VLOOKUP($A304,'Contribution Allocation_Report'!$A$9:$D$311,4,FALSE)*$L$326,0)</f>
        <v>-30962</v>
      </c>
      <c r="M304" s="64">
        <f>ROUND(VLOOKUP($A304,'Contribution Allocation_Report'!$A$9:$D$311,4,FALSE)*$M$326,0)</f>
        <v>-18684</v>
      </c>
      <c r="N304" s="64">
        <f>ROUND(VLOOKUP($A304,'Contribution Allocation_Report'!$A$9:$D$311,4,FALSE)*$N$326,0)</f>
        <v>-28170</v>
      </c>
      <c r="O304" s="64">
        <f>ROUND(VLOOKUP($A304,'Contribution Allocation_Report'!$A$9:$D$311,4,FALSE)*$O$326,0)</f>
        <v>-16047</v>
      </c>
      <c r="Q304" s="64">
        <f>+K304+VLOOKUP(A304,'Change in Proportion Layers'!$A$8:$N$324,3,FALSE)+VLOOKUP(A304,'Change in Proportion Layers'!$A$8:$Y$324,10,FALSE)+VLOOKUP(A304,'Change in Proportion Layers'!$A$8:$Y$324,16,FALSE)+VLOOKUP(A304,'Change in Proportion Layers'!$A$8:$Y$324,21,FALSE)+VLOOKUP(A304,'Change in Proportion Layers'!$A$8:$Y$324,25,FALSE)</f>
        <v>-13887</v>
      </c>
      <c r="R304" s="64">
        <f>+L304+VLOOKUP(A304,'Change in Proportion Layers'!$A$8:$Y$324,4,FALSE)+VLOOKUP(A304,'Change in Proportion Layers'!$A$8:$Y$324,11,FALSE)+VLOOKUP(A304,'Change in Proportion Layers'!$A$8:$Y$324,17,FALSE)+VLOOKUP(A304,'Change in Proportion Layers'!$A$8:$Y$324,22,FALSE)-2</f>
        <v>-11555</v>
      </c>
      <c r="S304" s="64">
        <f>+M304+VLOOKUP(A304,'Change in Proportion Layers'!$A$8:$Y$324,5,FALSE)+VLOOKUP(A304,'Change in Proportion Layers'!$A$8:$Y$324,12,FALSE)+VLOOKUP(A304,'Change in Proportion Layers'!$A$8:$Y$324,18,FALSE)</f>
        <v>2157</v>
      </c>
      <c r="T304" s="64">
        <f>+N304+VLOOKUP(A304,'Change in Proportion Layers'!$A$8:$Y$324,6,FALSE)+VLOOKUP(A304,'Change in Proportion Layers'!$A$8:$Y$324,13,FALSE)</f>
        <v>-22290</v>
      </c>
      <c r="U304" s="64">
        <f>+O304+VLOOKUP(A304,'Change in Proportion Layers'!$A$8:$Y$324,7,FALSE)</f>
        <v>-13636</v>
      </c>
      <c r="W304" s="64">
        <f>('OPEB Amounts_Report'!H303-'OPEB Amounts_Report'!M303)</f>
        <v>-64839</v>
      </c>
      <c r="X304" s="129">
        <f>SUM(Q304:U304)-('OPEB Amounts_Report'!H304-'OPEB Amounts_Report'!M304)</f>
        <v>0</v>
      </c>
    </row>
    <row r="305" spans="1:24">
      <c r="A305" s="187">
        <v>20317</v>
      </c>
      <c r="B305" s="188" t="s">
        <v>289</v>
      </c>
      <c r="C305" s="5">
        <f t="shared" si="6"/>
        <v>-59479</v>
      </c>
      <c r="D305" s="5">
        <f t="shared" si="6"/>
        <v>-35897</v>
      </c>
      <c r="E305" s="5">
        <f t="shared" si="6"/>
        <v>-14178</v>
      </c>
      <c r="F305" s="5">
        <f t="shared" si="6"/>
        <v>-57492</v>
      </c>
      <c r="G305" s="5">
        <f t="shared" si="6"/>
        <v>-6801</v>
      </c>
      <c r="I305" s="186"/>
      <c r="K305" s="64">
        <f>ROUND(VLOOKUP($A305,'Contribution Allocation_Report'!$A$9:$D$311,4,FALSE)*$K$326,0)</f>
        <v>-85758</v>
      </c>
      <c r="L305" s="64">
        <f>ROUND(VLOOKUP($A305,'Contribution Allocation_Report'!$A$9:$D$311,4,FALSE)*$L$326,0)</f>
        <v>-62317</v>
      </c>
      <c r="M305" s="64">
        <f>ROUND(VLOOKUP($A305,'Contribution Allocation_Report'!$A$9:$D$311,4,FALSE)*$M$326,0)</f>
        <v>-37606</v>
      </c>
      <c r="N305" s="64">
        <f>ROUND(VLOOKUP($A305,'Contribution Allocation_Report'!$A$9:$D$311,4,FALSE)*$N$326,0)</f>
        <v>-56697</v>
      </c>
      <c r="O305" s="64">
        <f>ROUND(VLOOKUP($A305,'Contribution Allocation_Report'!$A$9:$D$311,4,FALSE)*$O$326,0)</f>
        <v>-32299</v>
      </c>
      <c r="Q305" s="64">
        <f>+K305+VLOOKUP(A305,'Change in Proportion Layers'!$A$8:$N$324,3,FALSE)+VLOOKUP(A305,'Change in Proportion Layers'!$A$8:$Y$324,10,FALSE)+VLOOKUP(A305,'Change in Proportion Layers'!$A$8:$Y$324,16,FALSE)+VLOOKUP(A305,'Change in Proportion Layers'!$A$8:$Y$324,21,FALSE)+VLOOKUP(A305,'Change in Proportion Layers'!$A$8:$Y$324,25,FALSE)</f>
        <v>-59479</v>
      </c>
      <c r="R305" s="64">
        <f>+L305+VLOOKUP(A305,'Change in Proportion Layers'!$A$8:$Y$324,4,FALSE)+VLOOKUP(A305,'Change in Proportion Layers'!$A$8:$Y$324,11,FALSE)+VLOOKUP(A305,'Change in Proportion Layers'!$A$8:$Y$324,17,FALSE)+VLOOKUP(A305,'Change in Proportion Layers'!$A$8:$Y$324,22,FALSE)</f>
        <v>-35897</v>
      </c>
      <c r="S305" s="64">
        <f>+M305+VLOOKUP(A305,'Change in Proportion Layers'!$A$8:$Y$324,5,FALSE)+VLOOKUP(A305,'Change in Proportion Layers'!$A$8:$Y$324,12,FALSE)+VLOOKUP(A305,'Change in Proportion Layers'!$A$8:$Y$324,18,FALSE)</f>
        <v>-14178</v>
      </c>
      <c r="T305" s="64">
        <f>+N305+VLOOKUP(A305,'Change in Proportion Layers'!$A$8:$Y$324,6,FALSE)+VLOOKUP(A305,'Change in Proportion Layers'!$A$8:$Y$324,13,FALSE)</f>
        <v>-57492</v>
      </c>
      <c r="U305" s="64">
        <f>+O305+VLOOKUP(A305,'Change in Proportion Layers'!$A$8:$Y$324,7,FALSE)</f>
        <v>-6801</v>
      </c>
      <c r="W305" s="64">
        <f>('OPEB Amounts_Report'!H304-'OPEB Amounts_Report'!M304)</f>
        <v>-59211</v>
      </c>
      <c r="X305" s="129">
        <f>SUM(Q305:U305)-('OPEB Amounts_Report'!H305-'OPEB Amounts_Report'!M305)</f>
        <v>0</v>
      </c>
    </row>
    <row r="306" spans="1:24">
      <c r="A306" s="184">
        <v>2442</v>
      </c>
      <c r="B306" s="185" t="s">
        <v>444</v>
      </c>
      <c r="C306" s="63">
        <f t="shared" si="6"/>
        <v>17321</v>
      </c>
      <c r="D306" s="63">
        <f t="shared" si="6"/>
        <v>24722</v>
      </c>
      <c r="E306" s="63">
        <f t="shared" si="6"/>
        <v>32523</v>
      </c>
      <c r="F306" s="63">
        <f t="shared" si="6"/>
        <v>26227</v>
      </c>
      <c r="G306" s="63">
        <f t="shared" si="6"/>
        <v>17277</v>
      </c>
      <c r="I306" s="186"/>
      <c r="K306" s="64">
        <f>ROUND(VLOOKUP($A306,'Contribution Allocation_Report'!$A$9:$D$311,4,FALSE)*$K$326,0)</f>
        <v>-27075</v>
      </c>
      <c r="L306" s="64">
        <f>ROUND(VLOOKUP($A306,'Contribution Allocation_Report'!$A$9:$D$311,4,FALSE)*$L$326,0)</f>
        <v>-19674</v>
      </c>
      <c r="M306" s="64">
        <f>ROUND(VLOOKUP($A306,'Contribution Allocation_Report'!$A$9:$D$311,4,FALSE)*$M$326,0)</f>
        <v>-11873</v>
      </c>
      <c r="N306" s="64">
        <f>ROUND(VLOOKUP($A306,'Contribution Allocation_Report'!$A$9:$D$311,4,FALSE)*$N$326,0)</f>
        <v>-17900</v>
      </c>
      <c r="O306" s="64">
        <f>ROUND(VLOOKUP($A306,'Contribution Allocation_Report'!$A$9:$D$311,4,FALSE)*$O$326,0)</f>
        <v>-10197</v>
      </c>
      <c r="Q306" s="64">
        <f>+K306+VLOOKUP(A306,'Change in Proportion Layers'!$A$8:$N$324,3,FALSE)+VLOOKUP(A306,'Change in Proportion Layers'!$A$8:$Y$324,10,FALSE)+VLOOKUP(A306,'Change in Proportion Layers'!$A$8:$Y$324,16,FALSE)+VLOOKUP(A306,'Change in Proportion Layers'!$A$8:$Y$324,21,FALSE)+VLOOKUP(A306,'Change in Proportion Layers'!$A$8:$Y$324,25,FALSE)</f>
        <v>17321</v>
      </c>
      <c r="R306" s="64">
        <f>+L306+VLOOKUP(A306,'Change in Proportion Layers'!$A$8:$Y$324,4,FALSE)+VLOOKUP(A306,'Change in Proportion Layers'!$A$8:$Y$324,11,FALSE)+VLOOKUP(A306,'Change in Proportion Layers'!$A$8:$Y$324,17,FALSE)+VLOOKUP(A306,'Change in Proportion Layers'!$A$8:$Y$324,22,FALSE)</f>
        <v>24722</v>
      </c>
      <c r="S306" s="64">
        <f>+M306+VLOOKUP(A306,'Change in Proportion Layers'!$A$8:$Y$324,5,FALSE)+VLOOKUP(A306,'Change in Proportion Layers'!$A$8:$Y$324,12,FALSE)+VLOOKUP(A306,'Change in Proportion Layers'!$A$8:$Y$324,18,FALSE)</f>
        <v>32523</v>
      </c>
      <c r="T306" s="64">
        <f>+N306+VLOOKUP(A306,'Change in Proportion Layers'!$A$8:$Y$324,6,FALSE)+VLOOKUP(A306,'Change in Proportion Layers'!$A$8:$Y$324,13,FALSE)</f>
        <v>26227</v>
      </c>
      <c r="U306" s="64">
        <f>+O306+VLOOKUP(A306,'Change in Proportion Layers'!$A$8:$Y$324,7,FALSE)</f>
        <v>17277</v>
      </c>
      <c r="W306" s="64">
        <f>('OPEB Amounts_Report'!H305-'OPEB Amounts_Report'!M305)</f>
        <v>-173847</v>
      </c>
      <c r="X306" s="129">
        <f>SUM(Q306:U306)-('OPEB Amounts_Report'!H306-'OPEB Amounts_Report'!M306)</f>
        <v>0</v>
      </c>
    </row>
    <row r="307" spans="1:24">
      <c r="A307" s="187">
        <v>30090</v>
      </c>
      <c r="B307" s="188" t="s">
        <v>290</v>
      </c>
      <c r="C307" s="5">
        <f t="shared" si="6"/>
        <v>-139822</v>
      </c>
      <c r="D307" s="5">
        <f t="shared" si="6"/>
        <v>-97057</v>
      </c>
      <c r="E307" s="5">
        <f t="shared" si="6"/>
        <v>-44903</v>
      </c>
      <c r="F307" s="5">
        <f t="shared" si="6"/>
        <v>-90195</v>
      </c>
      <c r="G307" s="5">
        <f t="shared" si="6"/>
        <v>-80594</v>
      </c>
      <c r="I307" s="186"/>
      <c r="K307" s="64">
        <f>ROUND(VLOOKUP($A307,'Contribution Allocation_Report'!$A$9:$D$311,4,FALSE)*$K$326,0)</f>
        <v>-126564</v>
      </c>
      <c r="L307" s="64">
        <f>ROUND(VLOOKUP($A307,'Contribution Allocation_Report'!$A$9:$D$311,4,FALSE)*$L$326,0)</f>
        <v>-91968</v>
      </c>
      <c r="M307" s="64">
        <f>ROUND(VLOOKUP($A307,'Contribution Allocation_Report'!$A$9:$D$311,4,FALSE)*$M$326,0)</f>
        <v>-55500</v>
      </c>
      <c r="N307" s="64">
        <f>ROUND(VLOOKUP($A307,'Contribution Allocation_Report'!$A$9:$D$311,4,FALSE)*$N$326,0)</f>
        <v>-83675</v>
      </c>
      <c r="O307" s="64">
        <f>ROUND(VLOOKUP($A307,'Contribution Allocation_Report'!$A$9:$D$311,4,FALSE)*$O$326,0)</f>
        <v>-47667</v>
      </c>
      <c r="Q307" s="64">
        <f>+K307+VLOOKUP(A307,'Change in Proportion Layers'!$A$8:$N$324,3,FALSE)+VLOOKUP(A307,'Change in Proportion Layers'!$A$8:$Y$324,10,FALSE)+VLOOKUP(A307,'Change in Proportion Layers'!$A$8:$Y$324,16,FALSE)+VLOOKUP(A307,'Change in Proportion Layers'!$A$8:$Y$324,21,FALSE)+VLOOKUP(A307,'Change in Proportion Layers'!$A$8:$Y$324,25,FALSE)</f>
        <v>-139822</v>
      </c>
      <c r="R307" s="64">
        <f>+L307+VLOOKUP(A307,'Change in Proportion Layers'!$A$8:$Y$324,4,FALSE)+VLOOKUP(A307,'Change in Proportion Layers'!$A$8:$Y$324,11,FALSE)+VLOOKUP(A307,'Change in Proportion Layers'!$A$8:$Y$324,17,FALSE)+VLOOKUP(A307,'Change in Proportion Layers'!$A$8:$Y$324,22,FALSE)-1</f>
        <v>-97057</v>
      </c>
      <c r="S307" s="64">
        <f>+M307+VLOOKUP(A307,'Change in Proportion Layers'!$A$8:$Y$324,5,FALSE)+VLOOKUP(A307,'Change in Proportion Layers'!$A$8:$Y$324,12,FALSE)+VLOOKUP(A307,'Change in Proportion Layers'!$A$8:$Y$324,18,FALSE)</f>
        <v>-44903</v>
      </c>
      <c r="T307" s="64">
        <f>+N307+VLOOKUP(A307,'Change in Proportion Layers'!$A$8:$Y$324,6,FALSE)+VLOOKUP(A307,'Change in Proportion Layers'!$A$8:$Y$324,13,FALSE)</f>
        <v>-90195</v>
      </c>
      <c r="U307" s="64">
        <f>+O307+VLOOKUP(A307,'Change in Proportion Layers'!$A$8:$Y$324,7,FALSE)</f>
        <v>-80594</v>
      </c>
      <c r="W307" s="64">
        <f>('OPEB Amounts_Report'!H306-'OPEB Amounts_Report'!M306)</f>
        <v>118070</v>
      </c>
      <c r="X307" s="129">
        <f>SUM(Q307:U307)-('OPEB Amounts_Report'!H307-'OPEB Amounts_Report'!M307)</f>
        <v>0</v>
      </c>
    </row>
    <row r="308" spans="1:24">
      <c r="A308" s="184">
        <v>29330</v>
      </c>
      <c r="B308" s="185" t="s">
        <v>291</v>
      </c>
      <c r="C308" s="63">
        <f t="shared" si="6"/>
        <v>-52376</v>
      </c>
      <c r="D308" s="63">
        <f t="shared" si="6"/>
        <v>-45890</v>
      </c>
      <c r="E308" s="63">
        <f t="shared" si="6"/>
        <v>-33589</v>
      </c>
      <c r="F308" s="63">
        <f t="shared" si="6"/>
        <v>-43861</v>
      </c>
      <c r="G308" s="63">
        <f t="shared" si="6"/>
        <v>-19011</v>
      </c>
      <c r="I308" s="186"/>
      <c r="K308" s="64">
        <f>ROUND(VLOOKUP($A308,'Contribution Allocation_Report'!$A$9:$D$311,4,FALSE)*$K$326,0)</f>
        <v>-54206</v>
      </c>
      <c r="L308" s="64">
        <f>ROUND(VLOOKUP($A308,'Contribution Allocation_Report'!$A$9:$D$311,4,FALSE)*$L$326,0)</f>
        <v>-39389</v>
      </c>
      <c r="M308" s="64">
        <f>ROUND(VLOOKUP($A308,'Contribution Allocation_Report'!$A$9:$D$311,4,FALSE)*$M$326,0)</f>
        <v>-23770</v>
      </c>
      <c r="N308" s="64">
        <f>ROUND(VLOOKUP($A308,'Contribution Allocation_Report'!$A$9:$D$311,4,FALSE)*$N$326,0)</f>
        <v>-35837</v>
      </c>
      <c r="O308" s="64">
        <f>ROUND(VLOOKUP($A308,'Contribution Allocation_Report'!$A$9:$D$311,4,FALSE)*$O$326,0)</f>
        <v>-20415</v>
      </c>
      <c r="Q308" s="64">
        <f>+K308+VLOOKUP(A308,'Change in Proportion Layers'!$A$8:$N$324,3,FALSE)+VLOOKUP(A308,'Change in Proportion Layers'!$A$8:$Y$324,10,FALSE)+VLOOKUP(A308,'Change in Proportion Layers'!$A$8:$Y$324,16,FALSE)+VLOOKUP(A308,'Change in Proportion Layers'!$A$8:$Y$324,21,FALSE)+VLOOKUP(A308,'Change in Proportion Layers'!$A$8:$Y$324,25,FALSE)+1</f>
        <v>-52376</v>
      </c>
      <c r="R308" s="64">
        <f>+L308+VLOOKUP(A308,'Change in Proportion Layers'!$A$8:$Y$324,4,FALSE)+VLOOKUP(A308,'Change in Proportion Layers'!$A$8:$Y$324,11,FALSE)+VLOOKUP(A308,'Change in Proportion Layers'!$A$8:$Y$324,17,FALSE)+VLOOKUP(A308,'Change in Proportion Layers'!$A$8:$Y$324,22,FALSE)</f>
        <v>-45890</v>
      </c>
      <c r="S308" s="64">
        <f>+M308+VLOOKUP(A308,'Change in Proportion Layers'!$A$8:$Y$324,5,FALSE)+VLOOKUP(A308,'Change in Proportion Layers'!$A$8:$Y$324,12,FALSE)+VLOOKUP(A308,'Change in Proportion Layers'!$A$8:$Y$324,18,FALSE)</f>
        <v>-33589</v>
      </c>
      <c r="T308" s="64">
        <f>+N308+VLOOKUP(A308,'Change in Proportion Layers'!$A$8:$Y$324,6,FALSE)+VLOOKUP(A308,'Change in Proportion Layers'!$A$8:$Y$324,13,FALSE)</f>
        <v>-43861</v>
      </c>
      <c r="U308" s="64">
        <f>+O308+VLOOKUP(A308,'Change in Proportion Layers'!$A$8:$Y$324,7,FALSE)</f>
        <v>-19011</v>
      </c>
      <c r="W308" s="64">
        <f>('OPEB Amounts_Report'!H307-'OPEB Amounts_Report'!M307)</f>
        <v>-452571</v>
      </c>
      <c r="X308" s="129">
        <f>SUM(Q308:U308)-('OPEB Amounts_Report'!H308-'OPEB Amounts_Report'!M308)</f>
        <v>0</v>
      </c>
    </row>
    <row r="309" spans="1:24">
      <c r="A309" s="187">
        <v>12038</v>
      </c>
      <c r="B309" s="188" t="s">
        <v>292</v>
      </c>
      <c r="C309" s="5">
        <f t="shared" si="6"/>
        <v>-851339</v>
      </c>
      <c r="D309" s="5">
        <f t="shared" si="6"/>
        <v>-575448</v>
      </c>
      <c r="E309" s="5">
        <f t="shared" si="6"/>
        <v>-273838</v>
      </c>
      <c r="F309" s="5">
        <f t="shared" si="6"/>
        <v>-632282</v>
      </c>
      <c r="G309" s="5">
        <f t="shared" si="6"/>
        <v>-428677</v>
      </c>
      <c r="I309" s="186"/>
      <c r="K309" s="64">
        <f>ROUND(VLOOKUP($A309,'Contribution Allocation_Report'!$A$9:$D$311,4,FALSE)*$K$326,0)</f>
        <v>-1169004</v>
      </c>
      <c r="L309" s="64">
        <f>ROUND(VLOOKUP($A309,'Contribution Allocation_Report'!$A$9:$D$311,4,FALSE)*$L$326,0)</f>
        <v>-849464</v>
      </c>
      <c r="M309" s="64">
        <f>ROUND(VLOOKUP($A309,'Contribution Allocation_Report'!$A$9:$D$311,4,FALSE)*$M$326,0)</f>
        <v>-512622</v>
      </c>
      <c r="N309" s="64">
        <f>ROUND(VLOOKUP($A309,'Contribution Allocation_Report'!$A$9:$D$311,4,FALSE)*$N$326,0)</f>
        <v>-772865</v>
      </c>
      <c r="O309" s="64">
        <f>ROUND(VLOOKUP($A309,'Contribution Allocation_Report'!$A$9:$D$311,4,FALSE)*$O$326,0)</f>
        <v>-440278</v>
      </c>
      <c r="Q309" s="64">
        <f>+K309+VLOOKUP(A309,'Change in Proportion Layers'!$A$8:$N$324,3,FALSE)+VLOOKUP(A309,'Change in Proportion Layers'!$A$8:$Y$324,10,FALSE)+VLOOKUP(A309,'Change in Proportion Layers'!$A$8:$Y$324,16,FALSE)+VLOOKUP(A309,'Change in Proportion Layers'!$A$8:$Y$324,21,FALSE)+VLOOKUP(A309,'Change in Proportion Layers'!$A$8:$Y$324,25,FALSE)</f>
        <v>-851339</v>
      </c>
      <c r="R309" s="64">
        <f>+L309+VLOOKUP(A309,'Change in Proportion Layers'!$A$8:$Y$324,4,FALSE)+VLOOKUP(A309,'Change in Proportion Layers'!$A$8:$Y$324,11,FALSE)+VLOOKUP(A309,'Change in Proportion Layers'!$A$8:$Y$324,17,FALSE)+VLOOKUP(A309,'Change in Proportion Layers'!$A$8:$Y$324,22,FALSE)</f>
        <v>-575448</v>
      </c>
      <c r="S309" s="64">
        <f>+M309+VLOOKUP(A309,'Change in Proportion Layers'!$A$8:$Y$324,5,FALSE)+VLOOKUP(A309,'Change in Proportion Layers'!$A$8:$Y$324,12,FALSE)+VLOOKUP(A309,'Change in Proportion Layers'!$A$8:$Y$324,18,FALSE)</f>
        <v>-273838</v>
      </c>
      <c r="T309" s="64">
        <f>+N309+VLOOKUP(A309,'Change in Proportion Layers'!$A$8:$Y$324,6,FALSE)+VLOOKUP(A309,'Change in Proportion Layers'!$A$8:$Y$324,13,FALSE)</f>
        <v>-632282</v>
      </c>
      <c r="U309" s="64">
        <f>+O309+VLOOKUP(A309,'Change in Proportion Layers'!$A$8:$Y$324,7,FALSE)</f>
        <v>-428677</v>
      </c>
      <c r="W309" s="64">
        <f>('OPEB Amounts_Report'!H308-'OPEB Amounts_Report'!M308)</f>
        <v>-194727</v>
      </c>
      <c r="X309" s="129">
        <f>SUM(Q309:U309)-('OPEB Amounts_Report'!H309-'OPEB Amounts_Report'!M309)</f>
        <v>0</v>
      </c>
    </row>
    <row r="310" spans="1:24">
      <c r="A310" s="184">
        <v>8099</v>
      </c>
      <c r="B310" s="185" t="s">
        <v>293</v>
      </c>
      <c r="C310" s="63">
        <f t="shared" si="6"/>
        <v>-2138705</v>
      </c>
      <c r="D310" s="63">
        <f t="shared" si="6"/>
        <v>-1370506</v>
      </c>
      <c r="E310" s="63">
        <f t="shared" si="6"/>
        <v>-772726</v>
      </c>
      <c r="F310" s="63">
        <f t="shared" si="6"/>
        <v>-1059393</v>
      </c>
      <c r="G310" s="63">
        <f t="shared" si="6"/>
        <v>-575712</v>
      </c>
      <c r="I310" s="186"/>
      <c r="K310" s="64">
        <f>ROUND(VLOOKUP($A310,'Contribution Allocation_Report'!$A$9:$D$311,4,FALSE)*$K$326,0)</f>
        <v>-1929075</v>
      </c>
      <c r="L310" s="64">
        <f>ROUND(VLOOKUP($A310,'Contribution Allocation_Report'!$A$9:$D$311,4,FALSE)*$L$326,0)</f>
        <v>-1401775</v>
      </c>
      <c r="M310" s="64">
        <f>ROUND(VLOOKUP($A310,'Contribution Allocation_Report'!$A$9:$D$311,4,FALSE)*$M$326,0)</f>
        <v>-845922</v>
      </c>
      <c r="N310" s="64">
        <f>ROUND(VLOOKUP($A310,'Contribution Allocation_Report'!$A$9:$D$311,4,FALSE)*$N$326,0)</f>
        <v>-1275372</v>
      </c>
      <c r="O310" s="64">
        <f>ROUND(VLOOKUP($A310,'Contribution Allocation_Report'!$A$9:$D$311,4,FALSE)*$O$326,0)</f>
        <v>-726540</v>
      </c>
      <c r="Q310" s="64">
        <f>+K310+VLOOKUP(A310,'Change in Proportion Layers'!$A$8:$N$324,3,FALSE)+VLOOKUP(A310,'Change in Proportion Layers'!$A$8:$Y$324,10,FALSE)+VLOOKUP(A310,'Change in Proportion Layers'!$A$8:$Y$324,16,FALSE)+VLOOKUP(A310,'Change in Proportion Layers'!$A$8:$Y$324,21,FALSE)+VLOOKUP(A310,'Change in Proportion Layers'!$A$8:$Y$324,25,FALSE)</f>
        <v>-2138705</v>
      </c>
      <c r="R310" s="64">
        <f>+L310+VLOOKUP(A310,'Change in Proportion Layers'!$A$8:$Y$324,4,FALSE)+VLOOKUP(A310,'Change in Proportion Layers'!$A$8:$Y$324,11,FALSE)+VLOOKUP(A310,'Change in Proportion Layers'!$A$8:$Y$324,17,FALSE)+VLOOKUP(A310,'Change in Proportion Layers'!$A$8:$Y$324,22,FALSE)-1</f>
        <v>-1370506</v>
      </c>
      <c r="S310" s="64">
        <f>+M310+VLOOKUP(A310,'Change in Proportion Layers'!$A$8:$Y$324,5,FALSE)+VLOOKUP(A310,'Change in Proportion Layers'!$A$8:$Y$324,12,FALSE)+VLOOKUP(A310,'Change in Proportion Layers'!$A$8:$Y$324,18,FALSE)</f>
        <v>-772726</v>
      </c>
      <c r="T310" s="64">
        <f>+N310+VLOOKUP(A310,'Change in Proportion Layers'!$A$8:$Y$324,6,FALSE)+VLOOKUP(A310,'Change in Proportion Layers'!$A$8:$Y$324,13,FALSE)</f>
        <v>-1059393</v>
      </c>
      <c r="U310" s="64">
        <f>+O310+VLOOKUP(A310,'Change in Proportion Layers'!$A$8:$Y$324,7,FALSE)</f>
        <v>-575712</v>
      </c>
      <c r="W310" s="64">
        <f>('OPEB Amounts_Report'!H309-'OPEB Amounts_Report'!M309)</f>
        <v>-2761584</v>
      </c>
      <c r="X310" s="129">
        <f>SUM(Q310:U310)-('OPEB Amounts_Report'!H310-'OPEB Amounts_Report'!M310)</f>
        <v>0</v>
      </c>
    </row>
    <row r="311" spans="1:24">
      <c r="A311" s="187">
        <v>2417</v>
      </c>
      <c r="B311" s="188" t="s">
        <v>294</v>
      </c>
      <c r="C311" s="5">
        <f t="shared" si="6"/>
        <v>-25541</v>
      </c>
      <c r="D311" s="5">
        <f t="shared" si="6"/>
        <v>-18028</v>
      </c>
      <c r="E311" s="5">
        <f t="shared" si="6"/>
        <v>-11697</v>
      </c>
      <c r="F311" s="5">
        <f t="shared" si="6"/>
        <v>-18866</v>
      </c>
      <c r="G311" s="5">
        <f t="shared" si="6"/>
        <v>-12957</v>
      </c>
      <c r="I311" s="186"/>
      <c r="K311" s="64">
        <f>ROUND(VLOOKUP($A311,'Contribution Allocation_Report'!$A$9:$D$311,4,FALSE)*$K$326,0)</f>
        <v>-40787</v>
      </c>
      <c r="L311" s="64">
        <f>ROUND(VLOOKUP($A311,'Contribution Allocation_Report'!$A$9:$D$311,4,FALSE)*$L$326,0)</f>
        <v>-29638</v>
      </c>
      <c r="M311" s="64">
        <f>ROUND(VLOOKUP($A311,'Contribution Allocation_Report'!$A$9:$D$311,4,FALSE)*$M$326,0)</f>
        <v>-17886</v>
      </c>
      <c r="N311" s="64">
        <f>ROUND(VLOOKUP($A311,'Contribution Allocation_Report'!$A$9:$D$311,4,FALSE)*$N$326,0)</f>
        <v>-26966</v>
      </c>
      <c r="O311" s="64">
        <f>ROUND(VLOOKUP($A311,'Contribution Allocation_Report'!$A$9:$D$311,4,FALSE)*$O$326,0)</f>
        <v>-15362</v>
      </c>
      <c r="Q311" s="64">
        <f>+K311+VLOOKUP(A311,'Change in Proportion Layers'!$A$8:$N$324,3,FALSE)+VLOOKUP(A311,'Change in Proportion Layers'!$A$8:$Y$324,10,FALSE)+VLOOKUP(A311,'Change in Proportion Layers'!$A$8:$Y$324,16,FALSE)+VLOOKUP(A311,'Change in Proportion Layers'!$A$8:$Y$324,21,FALSE)+VLOOKUP(A311,'Change in Proportion Layers'!$A$8:$Y$324,25,FALSE)+1</f>
        <v>-25541</v>
      </c>
      <c r="R311" s="64">
        <f>+L311+VLOOKUP(A311,'Change in Proportion Layers'!$A$8:$Y$324,4,FALSE)+VLOOKUP(A311,'Change in Proportion Layers'!$A$8:$Y$324,11,FALSE)+VLOOKUP(A311,'Change in Proportion Layers'!$A$8:$Y$324,17,FALSE)+VLOOKUP(A311,'Change in Proportion Layers'!$A$8:$Y$324,22,FALSE)</f>
        <v>-18028</v>
      </c>
      <c r="S311" s="64">
        <f>+M311+VLOOKUP(A311,'Change in Proportion Layers'!$A$8:$Y$324,5,FALSE)+VLOOKUP(A311,'Change in Proportion Layers'!$A$8:$Y$324,12,FALSE)+VLOOKUP(A311,'Change in Proportion Layers'!$A$8:$Y$324,18,FALSE)</f>
        <v>-11697</v>
      </c>
      <c r="T311" s="64">
        <f>+N311+VLOOKUP(A311,'Change in Proportion Layers'!$A$8:$Y$324,6,FALSE)+VLOOKUP(A311,'Change in Proportion Layers'!$A$8:$Y$324,13,FALSE)</f>
        <v>-18866</v>
      </c>
      <c r="U311" s="64">
        <f>+O311+VLOOKUP(A311,'Change in Proportion Layers'!$A$8:$Y$324,7,FALSE)</f>
        <v>-12957</v>
      </c>
      <c r="W311" s="64">
        <f>('OPEB Amounts_Report'!H310-'OPEB Amounts_Report'!M310)</f>
        <v>-5917042</v>
      </c>
      <c r="X311" s="129">
        <f>SUM(Q311:U311)-('OPEB Amounts_Report'!H311-'OPEB Amounts_Report'!M311)</f>
        <v>0</v>
      </c>
    </row>
    <row r="312" spans="1:24">
      <c r="A312" s="184">
        <v>13142</v>
      </c>
      <c r="B312" s="185" t="s">
        <v>295</v>
      </c>
      <c r="C312" s="63">
        <f>+Q312</f>
        <v>-1052301</v>
      </c>
      <c r="D312" s="63">
        <f t="shared" si="6"/>
        <v>-672496</v>
      </c>
      <c r="E312" s="63">
        <f t="shared" si="6"/>
        <v>-347834</v>
      </c>
      <c r="F312" s="63">
        <f t="shared" si="6"/>
        <v>-643894</v>
      </c>
      <c r="G312" s="63">
        <f t="shared" si="6"/>
        <v>-268942</v>
      </c>
      <c r="I312" s="186"/>
      <c r="K312" s="64">
        <f>ROUND(VLOOKUP($A312,'Contribution Allocation_Report'!$A$9:$D$311,4,FALSE)*$K$326,0)</f>
        <v>-1218223</v>
      </c>
      <c r="L312" s="64">
        <f>ROUND(VLOOKUP($A312,'Contribution Allocation_Report'!$A$9:$D$311,4,FALSE)*$L$326,0)</f>
        <v>-885229</v>
      </c>
      <c r="M312" s="64">
        <f>ROUND(VLOOKUP($A312,'Contribution Allocation_Report'!$A$9:$D$311,4,FALSE)*$M$326,0)</f>
        <v>-534205</v>
      </c>
      <c r="N312" s="64">
        <f>ROUND(VLOOKUP($A312,'Contribution Allocation_Report'!$A$9:$D$311,4,FALSE)*$N$326,0)</f>
        <v>-805405</v>
      </c>
      <c r="O312" s="64">
        <f>ROUND(VLOOKUP($A312,'Contribution Allocation_Report'!$A$9:$D$311,4,FALSE)*$O$326,0)</f>
        <v>-458815</v>
      </c>
      <c r="Q312" s="64">
        <f>+K312+VLOOKUP(A312,'Change in Proportion Layers'!$A$8:$N$324,3,FALSE)+VLOOKUP(A312,'Change in Proportion Layers'!$A$8:$Y$324,10,FALSE)+VLOOKUP(A312,'Change in Proportion Layers'!$A$8:$Y$324,16,FALSE)+VLOOKUP(A312,'Change in Proportion Layers'!$A$8:$Y$324,21,FALSE)+VLOOKUP(A312,'Change in Proportion Layers'!$A$8:$Y$324,25,FALSE)</f>
        <v>-1052301</v>
      </c>
      <c r="R312" s="64">
        <f>+L312+VLOOKUP(A312,'Change in Proportion Layers'!$A$8:$Y$324,4,FALSE)+VLOOKUP(A312,'Change in Proportion Layers'!$A$8:$Y$324,11,FALSE)+VLOOKUP(A312,'Change in Proportion Layers'!$A$8:$Y$324,17,FALSE)+VLOOKUP(A312,'Change in Proportion Layers'!$A$8:$Y$324,22,FALSE)</f>
        <v>-672496</v>
      </c>
      <c r="S312" s="64">
        <f>+M312+VLOOKUP(A312,'Change in Proportion Layers'!$A$8:$Y$324,5,FALSE)+VLOOKUP(A312,'Change in Proportion Layers'!$A$8:$Y$324,12,FALSE)+VLOOKUP(A312,'Change in Proportion Layers'!$A$8:$Y$324,18,FALSE)</f>
        <v>-347834</v>
      </c>
      <c r="T312" s="64">
        <f>+N312+VLOOKUP(A312,'Change in Proportion Layers'!$A$8:$Y$324,6,FALSE)+VLOOKUP(A312,'Change in Proportion Layers'!$A$8:$Y$324,13,FALSE)</f>
        <v>-643894</v>
      </c>
      <c r="U312" s="64">
        <f>+O312+VLOOKUP(A312,'Change in Proportion Layers'!$A$8:$Y$324,7,FALSE)</f>
        <v>-268942</v>
      </c>
      <c r="W312" s="64">
        <f>('OPEB Amounts_Report'!H311-'OPEB Amounts_Report'!M311)</f>
        <v>-87089</v>
      </c>
      <c r="X312" s="129">
        <f>SUM(Q312:U312)-('OPEB Amounts_Report'!H312-'OPEB Amounts_Report'!M312)</f>
        <v>0</v>
      </c>
    </row>
    <row r="313" spans="1:24">
      <c r="A313" s="187">
        <v>4170</v>
      </c>
      <c r="B313" s="188" t="s">
        <v>537</v>
      </c>
      <c r="C313" s="5">
        <f t="shared" ref="C313:G324" si="7">+Q313</f>
        <v>-55338</v>
      </c>
      <c r="D313" s="5">
        <f t="shared" si="6"/>
        <v>-52699</v>
      </c>
      <c r="E313" s="5">
        <f t="shared" si="6"/>
        <v>-59841</v>
      </c>
      <c r="F313" s="5">
        <f t="shared" si="6"/>
        <v>-58968</v>
      </c>
      <c r="G313" s="5">
        <f t="shared" si="6"/>
        <v>-14335</v>
      </c>
      <c r="I313" s="186"/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Q313" s="64">
        <f>+K313+VLOOKUP(A313,'Change in Proportion Layers'!$A$8:$N$324,3,FALSE)+VLOOKUP(A313,'Change in Proportion Layers'!$A$8:$Y$324,10,FALSE)+VLOOKUP(A313,'Change in Proportion Layers'!$A$8:$Y$324,16,FALSE)+VLOOKUP(A313,'Change in Proportion Layers'!$A$8:$Y$324,21,FALSE)+VLOOKUP(A313,'Change in Proportion Layers'!$A$8:$Y$324,25,FALSE)</f>
        <v>-55338</v>
      </c>
      <c r="R313" s="64">
        <f>+L313+VLOOKUP(A313,'Change in Proportion Layers'!$A$8:$Y$324,4,FALSE)+VLOOKUP(A313,'Change in Proportion Layers'!$A$8:$Y$324,11,FALSE)+VLOOKUP(A313,'Change in Proportion Layers'!$A$8:$Y$324,17,FALSE)+VLOOKUP(A313,'Change in Proportion Layers'!$A$8:$Y$324,22,FALSE)</f>
        <v>-52699</v>
      </c>
      <c r="S313" s="64">
        <f>+M313+VLOOKUP(A313,'Change in Proportion Layers'!$A$8:$Y$324,5,FALSE)+VLOOKUP(A313,'Change in Proportion Layers'!$A$8:$Y$324,12,FALSE)+VLOOKUP(A313,'Change in Proportion Layers'!$A$8:$Y$324,18,FALSE)</f>
        <v>-59841</v>
      </c>
      <c r="T313" s="64">
        <f>+N313+VLOOKUP(A313,'Change in Proportion Layers'!$A$8:$Y$324,6,FALSE)+VLOOKUP(A313,'Change in Proportion Layers'!$A$8:$Y$324,13,FALSE)</f>
        <v>-58968</v>
      </c>
      <c r="U313" s="64">
        <f>+O313+VLOOKUP(A313,'Change in Proportion Layers'!$A$8:$Y$324,7,FALSE)</f>
        <v>-14335</v>
      </c>
      <c r="W313" s="64">
        <f>('OPEB Amounts_Report'!H312-'OPEB Amounts_Report'!M312)</f>
        <v>-2985467</v>
      </c>
      <c r="X313" s="129">
        <f>SUM(Q313:U313)-('OPEB Amounts_Report'!H313-'OPEB Amounts_Report'!M313)</f>
        <v>0</v>
      </c>
    </row>
    <row r="314" spans="1:24">
      <c r="A314" s="184">
        <v>4215</v>
      </c>
      <c r="B314" s="185" t="s">
        <v>538</v>
      </c>
      <c r="C314" s="63">
        <f t="shared" si="7"/>
        <v>-97728</v>
      </c>
      <c r="D314" s="63">
        <f t="shared" si="6"/>
        <v>-94745</v>
      </c>
      <c r="E314" s="63">
        <f t="shared" si="6"/>
        <v>-74505</v>
      </c>
      <c r="F314" s="63">
        <f t="shared" si="6"/>
        <v>-55724</v>
      </c>
      <c r="G314" s="63">
        <f t="shared" si="6"/>
        <v>-19643</v>
      </c>
      <c r="I314" s="186"/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Q314" s="64">
        <f>+K314+VLOOKUP(A314,'Change in Proportion Layers'!$A$8:$N$324,3,FALSE)+VLOOKUP(A314,'Change in Proportion Layers'!$A$8:$Y$324,10,FALSE)+VLOOKUP(A314,'Change in Proportion Layers'!$A$8:$Y$324,16,FALSE)+VLOOKUP(A314,'Change in Proportion Layers'!$A$8:$Y$324,21,FALSE)+VLOOKUP(A314,'Change in Proportion Layers'!$A$8:$Y$324,25,FALSE)</f>
        <v>-97728</v>
      </c>
      <c r="R314" s="64">
        <f>+L314+VLOOKUP(A314,'Change in Proportion Layers'!$A$8:$Y$324,4,FALSE)+VLOOKUP(A314,'Change in Proportion Layers'!$A$8:$Y$324,11,FALSE)+VLOOKUP(A314,'Change in Proportion Layers'!$A$8:$Y$324,17,FALSE)+VLOOKUP(A314,'Change in Proportion Layers'!$A$8:$Y$324,22,FALSE)</f>
        <v>-94745</v>
      </c>
      <c r="S314" s="64">
        <f>+M314+VLOOKUP(A314,'Change in Proportion Layers'!$A$8:$Y$324,5,FALSE)+VLOOKUP(A314,'Change in Proportion Layers'!$A$8:$Y$324,12,FALSE)+VLOOKUP(A314,'Change in Proportion Layers'!$A$8:$Y$324,18,FALSE)</f>
        <v>-74505</v>
      </c>
      <c r="T314" s="64">
        <f>+N314+VLOOKUP(A314,'Change in Proportion Layers'!$A$8:$Y$324,6,FALSE)+VLOOKUP(A314,'Change in Proportion Layers'!$A$8:$Y$324,13,FALSE)</f>
        <v>-55724</v>
      </c>
      <c r="U314" s="64">
        <f>+O314+VLOOKUP(A314,'Change in Proportion Layers'!$A$8:$Y$324,7,FALSE)</f>
        <v>-19643</v>
      </c>
      <c r="W314" s="64">
        <f>('OPEB Amounts_Report'!H313-'OPEB Amounts_Report'!M313)</f>
        <v>-241181</v>
      </c>
      <c r="X314" s="129">
        <f>SUM(Q314:U314)-('OPEB Amounts_Report'!H314-'OPEB Amounts_Report'!M314)</f>
        <v>0</v>
      </c>
    </row>
    <row r="315" spans="1:24">
      <c r="A315" s="187">
        <v>17334</v>
      </c>
      <c r="B315" s="188" t="s">
        <v>539</v>
      </c>
      <c r="C315" s="5">
        <f t="shared" si="7"/>
        <v>-32142</v>
      </c>
      <c r="D315" s="5">
        <f t="shared" si="7"/>
        <v>-31901</v>
      </c>
      <c r="E315" s="5">
        <f t="shared" si="7"/>
        <v>-28375</v>
      </c>
      <c r="F315" s="5">
        <f t="shared" si="7"/>
        <v>-16508</v>
      </c>
      <c r="G315" s="5">
        <f t="shared" si="7"/>
        <v>0</v>
      </c>
      <c r="I315" s="186"/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Q315" s="64">
        <f>+K315+VLOOKUP(A315,'Change in Proportion Layers'!$A$8:$N$324,3,FALSE)+VLOOKUP(A315,'Change in Proportion Layers'!$A$8:$Y$324,10,FALSE)+VLOOKUP(A315,'Change in Proportion Layers'!$A$8:$Y$324,16,FALSE)+VLOOKUP(A315,'Change in Proportion Layers'!$A$8:$Y$324,21,FALSE)+VLOOKUP(A315,'Change in Proportion Layers'!$A$8:$Y$324,25,FALSE)</f>
        <v>-32142</v>
      </c>
      <c r="R315" s="64">
        <f>+L315+VLOOKUP(A315,'Change in Proportion Layers'!$A$8:$Y$324,4,FALSE)+VLOOKUP(A315,'Change in Proportion Layers'!$A$8:$Y$324,11,FALSE)+VLOOKUP(A315,'Change in Proportion Layers'!$A$8:$Y$324,17,FALSE)+VLOOKUP(A315,'Change in Proportion Layers'!$A$8:$Y$324,22,FALSE)</f>
        <v>-31901</v>
      </c>
      <c r="S315" s="64">
        <f>+M315+VLOOKUP(A315,'Change in Proportion Layers'!$A$8:$Y$324,5,FALSE)+VLOOKUP(A315,'Change in Proportion Layers'!$A$8:$Y$324,12,FALSE)+VLOOKUP(A315,'Change in Proportion Layers'!$A$8:$Y$324,18,FALSE)</f>
        <v>-28375</v>
      </c>
      <c r="T315" s="64">
        <f>+N315+VLOOKUP(A315,'Change in Proportion Layers'!$A$8:$Y$324,6,FALSE)+VLOOKUP(A315,'Change in Proportion Layers'!$A$8:$Y$324,13,FALSE)</f>
        <v>-16508</v>
      </c>
      <c r="U315" s="64">
        <f>+O315+VLOOKUP(A315,'Change in Proportion Layers'!$A$8:$Y$324,7,FALSE)</f>
        <v>0</v>
      </c>
      <c r="W315" s="64">
        <f>('OPEB Amounts_Report'!H315-'OPEB Amounts_Report'!M315)</f>
        <v>-108926</v>
      </c>
      <c r="X315" s="129">
        <f>SUM(Q315:U315)-('OPEB Amounts_Report'!H315-'OPEB Amounts_Report'!M315)</f>
        <v>0</v>
      </c>
    </row>
    <row r="316" spans="1:24">
      <c r="A316" s="184">
        <v>2403</v>
      </c>
      <c r="B316" s="185" t="s">
        <v>540</v>
      </c>
      <c r="C316" s="63">
        <f t="shared" si="7"/>
        <v>-20435</v>
      </c>
      <c r="D316" s="63">
        <f t="shared" si="7"/>
        <v>-47002</v>
      </c>
      <c r="E316" s="63">
        <f t="shared" si="7"/>
        <v>0</v>
      </c>
      <c r="F316" s="63">
        <f t="shared" si="7"/>
        <v>0</v>
      </c>
      <c r="G316" s="63">
        <f t="shared" si="7"/>
        <v>0</v>
      </c>
      <c r="I316" s="186"/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Q316" s="64">
        <f>+K316+VLOOKUP(A316,'Change in Proportion Layers'!$A$8:$N$324,3,FALSE)+VLOOKUP(A316,'Change in Proportion Layers'!$A$8:$Y$324,10,FALSE)+VLOOKUP(A316,'Change in Proportion Layers'!$A$8:$Y$324,16,FALSE)+VLOOKUP(A316,'Change in Proportion Layers'!$A$8:$Y$324,21,FALSE)+VLOOKUP(A316,'Change in Proportion Layers'!$A$8:$Y$324,25,FALSE)</f>
        <v>-20435</v>
      </c>
      <c r="R316" s="64">
        <f>+L316+VLOOKUP(A316,'Change in Proportion Layers'!$A$8:$Y$324,4,FALSE)+VLOOKUP(A316,'Change in Proportion Layers'!$A$8:$Y$324,11,FALSE)+VLOOKUP(A316,'Change in Proportion Layers'!$A$8:$Y$324,17,FALSE)+VLOOKUP(A316,'Change in Proportion Layers'!$A$8:$Y$324,22,FALSE)</f>
        <v>-47002</v>
      </c>
      <c r="S316" s="64">
        <f>+M316+VLOOKUP(A316,'Change in Proportion Layers'!$A$8:$Y$324,5,FALSE)+VLOOKUP(A316,'Change in Proportion Layers'!$A$8:$Y$324,12,FALSE)+VLOOKUP(A316,'Change in Proportion Layers'!$A$8:$Y$324,18,FALSE)</f>
        <v>0</v>
      </c>
      <c r="T316" s="64">
        <f>+N316+VLOOKUP(A316,'Change in Proportion Layers'!$A$8:$Y$324,6,FALSE)+VLOOKUP(A316,'Change in Proportion Layers'!$A$8:$Y$324,13,FALSE)</f>
        <v>0</v>
      </c>
      <c r="U316" s="64">
        <f>+O316+VLOOKUP(A316,'Change in Proportion Layers'!$A$8:$Y$324,7,FALSE)</f>
        <v>0</v>
      </c>
      <c r="W316" s="64">
        <f>('OPEB Amounts_Report'!H316-'OPEB Amounts_Report'!M316)</f>
        <v>-67437</v>
      </c>
      <c r="X316" s="129">
        <f>SUM(Q316:U316)-('OPEB Amounts_Report'!H316-'OPEB Amounts_Report'!M316)</f>
        <v>0</v>
      </c>
    </row>
    <row r="317" spans="1:24">
      <c r="A317" s="187">
        <v>16358</v>
      </c>
      <c r="B317" s="188" t="s">
        <v>541</v>
      </c>
      <c r="C317" s="5">
        <f t="shared" si="7"/>
        <v>-188138</v>
      </c>
      <c r="D317" s="5">
        <f t="shared" si="7"/>
        <v>-121078</v>
      </c>
      <c r="E317" s="5">
        <f t="shared" si="7"/>
        <v>0</v>
      </c>
      <c r="F317" s="5">
        <f t="shared" si="7"/>
        <v>0</v>
      </c>
      <c r="G317" s="5">
        <f t="shared" si="7"/>
        <v>0</v>
      </c>
      <c r="I317" s="186"/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Q317" s="64">
        <f>+K317+VLOOKUP(A317,'Change in Proportion Layers'!$A$8:$N$324,3,FALSE)+VLOOKUP(A317,'Change in Proportion Layers'!$A$8:$Y$324,10,FALSE)+VLOOKUP(A317,'Change in Proportion Layers'!$A$8:$Y$324,16,FALSE)+VLOOKUP(A317,'Change in Proportion Layers'!$A$8:$Y$324,21,FALSE)+VLOOKUP(A317,'Change in Proportion Layers'!$A$8:$Y$324,25,FALSE)</f>
        <v>-188138</v>
      </c>
      <c r="R317" s="64">
        <f>+L317+VLOOKUP(A317,'Change in Proportion Layers'!$A$8:$Y$324,4,FALSE)+VLOOKUP(A317,'Change in Proportion Layers'!$A$8:$Y$324,11,FALSE)+VLOOKUP(A317,'Change in Proportion Layers'!$A$8:$Y$324,17,FALSE)+VLOOKUP(A317,'Change in Proportion Layers'!$A$8:$Y$324,22,FALSE)</f>
        <v>-121078</v>
      </c>
      <c r="S317" s="64">
        <f>+M317+VLOOKUP(A317,'Change in Proportion Layers'!$A$8:$Y$324,5,FALSE)+VLOOKUP(A317,'Change in Proportion Layers'!$A$8:$Y$324,12,FALSE)+VLOOKUP(A317,'Change in Proportion Layers'!$A$8:$Y$324,18,FALSE)</f>
        <v>0</v>
      </c>
      <c r="T317" s="64">
        <f>+N317+VLOOKUP(A317,'Change in Proportion Layers'!$A$8:$Y$324,6,FALSE)+VLOOKUP(A317,'Change in Proportion Layers'!$A$8:$Y$324,13,FALSE)</f>
        <v>0</v>
      </c>
      <c r="U317" s="64">
        <f>+O317+VLOOKUP(A317,'Change in Proportion Layers'!$A$8:$Y$324,7,FALSE)</f>
        <v>0</v>
      </c>
      <c r="W317" s="64">
        <f>('OPEB Amounts_Report'!H317-'OPEB Amounts_Report'!M317)</f>
        <v>-309216</v>
      </c>
      <c r="X317" s="129">
        <f>SUM(Q317:U317)-('OPEB Amounts_Report'!H317-'OPEB Amounts_Report'!M317)</f>
        <v>0</v>
      </c>
    </row>
    <row r="318" spans="1:24">
      <c r="A318" s="184">
        <v>2357</v>
      </c>
      <c r="B318" s="185" t="s">
        <v>542</v>
      </c>
      <c r="C318" s="63">
        <f t="shared" si="7"/>
        <v>-97505</v>
      </c>
      <c r="D318" s="63">
        <f t="shared" si="7"/>
        <v>-56440</v>
      </c>
      <c r="E318" s="63">
        <f t="shared" si="7"/>
        <v>0</v>
      </c>
      <c r="F318" s="63">
        <f t="shared" si="7"/>
        <v>0</v>
      </c>
      <c r="G318" s="63">
        <f t="shared" si="7"/>
        <v>0</v>
      </c>
      <c r="I318" s="186"/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Q318" s="64">
        <f>+K318+VLOOKUP(A318,'Change in Proportion Layers'!$A$8:$N$324,3,FALSE)+VLOOKUP(A318,'Change in Proportion Layers'!$A$8:$Y$324,10,FALSE)+VLOOKUP(A318,'Change in Proportion Layers'!$A$8:$Y$324,16,FALSE)+VLOOKUP(A318,'Change in Proportion Layers'!$A$8:$Y$324,21,FALSE)+VLOOKUP(A318,'Change in Proportion Layers'!$A$8:$Y$324,25,FALSE)</f>
        <v>-97505</v>
      </c>
      <c r="R318" s="64">
        <f>+L318+VLOOKUP(A318,'Change in Proportion Layers'!$A$8:$Y$324,4,FALSE)+VLOOKUP(A318,'Change in Proportion Layers'!$A$8:$Y$324,11,FALSE)+VLOOKUP(A318,'Change in Proportion Layers'!$A$8:$Y$324,17,FALSE)+VLOOKUP(A318,'Change in Proportion Layers'!$A$8:$Y$324,22,FALSE)</f>
        <v>-56440</v>
      </c>
      <c r="S318" s="64">
        <f>+M318+VLOOKUP(A318,'Change in Proportion Layers'!$A$8:$Y$324,5,FALSE)+VLOOKUP(A318,'Change in Proportion Layers'!$A$8:$Y$324,12,FALSE)+VLOOKUP(A318,'Change in Proportion Layers'!$A$8:$Y$324,18,FALSE)</f>
        <v>0</v>
      </c>
      <c r="T318" s="64">
        <f>+N318+VLOOKUP(A318,'Change in Proportion Layers'!$A$8:$Y$324,6,FALSE)+VLOOKUP(A318,'Change in Proportion Layers'!$A$8:$Y$324,13,FALSE)</f>
        <v>0</v>
      </c>
      <c r="U318" s="64">
        <f>+O318+VLOOKUP(A318,'Change in Proportion Layers'!$A$8:$Y$324,7,FALSE)</f>
        <v>0</v>
      </c>
      <c r="W318" s="64">
        <f>('OPEB Amounts_Report'!H318-'OPEB Amounts_Report'!M318)</f>
        <v>-153945</v>
      </c>
      <c r="X318" s="129">
        <f>SUM(Q318:U318)-('OPEB Amounts_Report'!H318-'OPEB Amounts_Report'!M318)</f>
        <v>0</v>
      </c>
    </row>
    <row r="319" spans="1:24">
      <c r="A319" s="187">
        <v>16357</v>
      </c>
      <c r="B319" s="188" t="s">
        <v>543</v>
      </c>
      <c r="C319" s="5">
        <f t="shared" si="7"/>
        <v>-160368</v>
      </c>
      <c r="D319" s="5">
        <f t="shared" si="7"/>
        <v>-74761</v>
      </c>
      <c r="E319" s="5">
        <f t="shared" si="7"/>
        <v>0</v>
      </c>
      <c r="F319" s="5">
        <f t="shared" si="7"/>
        <v>0</v>
      </c>
      <c r="G319" s="5">
        <f t="shared" si="7"/>
        <v>0</v>
      </c>
      <c r="I319" s="186"/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Q319" s="64">
        <f>+K319+VLOOKUP(A319,'Change in Proportion Layers'!$A$8:$N$324,3,FALSE)+VLOOKUP(A319,'Change in Proportion Layers'!$A$8:$Y$324,10,FALSE)+VLOOKUP(A319,'Change in Proportion Layers'!$A$8:$Y$324,16,FALSE)+VLOOKUP(A319,'Change in Proportion Layers'!$A$8:$Y$324,21,FALSE)+VLOOKUP(A319,'Change in Proportion Layers'!$A$8:$Y$324,25,FALSE)</f>
        <v>-160368</v>
      </c>
      <c r="R319" s="64">
        <f>+L319+VLOOKUP(A319,'Change in Proportion Layers'!$A$8:$Y$324,4,FALSE)+VLOOKUP(A319,'Change in Proportion Layers'!$A$8:$Y$324,11,FALSE)+VLOOKUP(A319,'Change in Proportion Layers'!$A$8:$Y$324,17,FALSE)+VLOOKUP(A319,'Change in Proportion Layers'!$A$8:$Y$324,22,FALSE)</f>
        <v>-74761</v>
      </c>
      <c r="S319" s="64">
        <f>+M319+VLOOKUP(A319,'Change in Proportion Layers'!$A$8:$Y$324,5,FALSE)+VLOOKUP(A319,'Change in Proportion Layers'!$A$8:$Y$324,12,FALSE)+VLOOKUP(A319,'Change in Proportion Layers'!$A$8:$Y$324,18,FALSE)</f>
        <v>0</v>
      </c>
      <c r="T319" s="64">
        <f>+N319+VLOOKUP(A319,'Change in Proportion Layers'!$A$8:$Y$324,6,FALSE)+VLOOKUP(A319,'Change in Proportion Layers'!$A$8:$Y$324,13,FALSE)</f>
        <v>0</v>
      </c>
      <c r="U319" s="64">
        <f>+O319+VLOOKUP(A319,'Change in Proportion Layers'!$A$8:$Y$324,7,FALSE)</f>
        <v>0</v>
      </c>
      <c r="W319" s="64">
        <f>('OPEB Amounts_Report'!H319-'OPEB Amounts_Report'!M319)</f>
        <v>-235129</v>
      </c>
      <c r="X319" s="129">
        <f>SUM(Q319:U319)-('OPEB Amounts_Report'!H319-'OPEB Amounts_Report'!M319)</f>
        <v>0</v>
      </c>
    </row>
    <row r="320" spans="1:24">
      <c r="A320" s="184">
        <v>7339</v>
      </c>
      <c r="B320" s="185" t="s">
        <v>544</v>
      </c>
      <c r="C320" s="63">
        <f t="shared" si="7"/>
        <v>-123875</v>
      </c>
      <c r="D320" s="63">
        <f t="shared" si="7"/>
        <v>-75382</v>
      </c>
      <c r="E320" s="63">
        <f t="shared" si="7"/>
        <v>0</v>
      </c>
      <c r="F320" s="63">
        <f t="shared" si="7"/>
        <v>0</v>
      </c>
      <c r="G320" s="63">
        <f t="shared" si="7"/>
        <v>0</v>
      </c>
      <c r="I320" s="186"/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Q320" s="64">
        <f>+K320+VLOOKUP(A320,'Change in Proportion Layers'!$A$8:$N$324,3,FALSE)+VLOOKUP(A320,'Change in Proportion Layers'!$A$8:$Y$324,10,FALSE)+VLOOKUP(A320,'Change in Proportion Layers'!$A$8:$Y$324,16,FALSE)+VLOOKUP(A320,'Change in Proportion Layers'!$A$8:$Y$324,21,FALSE)+VLOOKUP(A320,'Change in Proportion Layers'!$A$8:$Y$324,25,FALSE)</f>
        <v>-123875</v>
      </c>
      <c r="R320" s="64">
        <f>+L320+VLOOKUP(A320,'Change in Proportion Layers'!$A$8:$Y$324,4,FALSE)+VLOOKUP(A320,'Change in Proportion Layers'!$A$8:$Y$324,11,FALSE)+VLOOKUP(A320,'Change in Proportion Layers'!$A$8:$Y$324,17,FALSE)+VLOOKUP(A320,'Change in Proportion Layers'!$A$8:$Y$324,22,FALSE)</f>
        <v>-75382</v>
      </c>
      <c r="S320" s="64">
        <f>+M320+VLOOKUP(A320,'Change in Proportion Layers'!$A$8:$Y$324,5,FALSE)+VLOOKUP(A320,'Change in Proportion Layers'!$A$8:$Y$324,12,FALSE)+VLOOKUP(A320,'Change in Proportion Layers'!$A$8:$Y$324,18,FALSE)</f>
        <v>0</v>
      </c>
      <c r="T320" s="64">
        <f>+N320+VLOOKUP(A320,'Change in Proportion Layers'!$A$8:$Y$324,6,FALSE)+VLOOKUP(A320,'Change in Proportion Layers'!$A$8:$Y$324,13,FALSE)</f>
        <v>0</v>
      </c>
      <c r="U320" s="64">
        <f>+O320+VLOOKUP(A320,'Change in Proportion Layers'!$A$8:$Y$324,7,FALSE)</f>
        <v>0</v>
      </c>
      <c r="W320" s="64">
        <f>('OPEB Amounts_Report'!H320-'OPEB Amounts_Report'!M320)</f>
        <v>-199257</v>
      </c>
      <c r="X320" s="129">
        <f>SUM(Q320:U320)-('OPEB Amounts_Report'!H320-'OPEB Amounts_Report'!M320)</f>
        <v>0</v>
      </c>
    </row>
    <row r="321" spans="1:24">
      <c r="A321" s="187">
        <v>2344</v>
      </c>
      <c r="B321" s="188" t="s">
        <v>545</v>
      </c>
      <c r="C321" s="5">
        <f t="shared" si="7"/>
        <v>-200522</v>
      </c>
      <c r="D321" s="5">
        <f t="shared" si="7"/>
        <v>-117353</v>
      </c>
      <c r="E321" s="5">
        <f t="shared" si="7"/>
        <v>0</v>
      </c>
      <c r="F321" s="5">
        <f t="shared" si="7"/>
        <v>0</v>
      </c>
      <c r="G321" s="5">
        <f t="shared" si="7"/>
        <v>0</v>
      </c>
      <c r="I321" s="186"/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Q321" s="64">
        <f>+K321+VLOOKUP(A321,'Change in Proportion Layers'!$A$8:$N$324,3,FALSE)+VLOOKUP(A321,'Change in Proportion Layers'!$A$8:$Y$324,10,FALSE)+VLOOKUP(A321,'Change in Proportion Layers'!$A$8:$Y$324,16,FALSE)+VLOOKUP(A321,'Change in Proportion Layers'!$A$8:$Y$324,21,FALSE)+VLOOKUP(A321,'Change in Proportion Layers'!$A$8:$Y$324,25,FALSE)</f>
        <v>-200522</v>
      </c>
      <c r="R321" s="64">
        <f>+L321+VLOOKUP(A321,'Change in Proportion Layers'!$A$8:$Y$324,4,FALSE)+VLOOKUP(A321,'Change in Proportion Layers'!$A$8:$Y$324,11,FALSE)+VLOOKUP(A321,'Change in Proportion Layers'!$A$8:$Y$324,17,FALSE)+VLOOKUP(A321,'Change in Proportion Layers'!$A$8:$Y$324,22,FALSE)</f>
        <v>-117353</v>
      </c>
      <c r="S321" s="64">
        <f>+M321+VLOOKUP(A321,'Change in Proportion Layers'!$A$8:$Y$324,5,FALSE)+VLOOKUP(A321,'Change in Proportion Layers'!$A$8:$Y$324,12,FALSE)+VLOOKUP(A321,'Change in Proportion Layers'!$A$8:$Y$324,18,FALSE)</f>
        <v>0</v>
      </c>
      <c r="T321" s="64">
        <f>+N321+VLOOKUP(A321,'Change in Proportion Layers'!$A$8:$Y$324,6,FALSE)+VLOOKUP(A321,'Change in Proportion Layers'!$A$8:$Y$324,13,FALSE)</f>
        <v>0</v>
      </c>
      <c r="U321" s="64">
        <f>+O321+VLOOKUP(A321,'Change in Proportion Layers'!$A$8:$Y$324,7,FALSE)</f>
        <v>0</v>
      </c>
      <c r="W321" s="64">
        <f>('OPEB Amounts_Report'!H321-'OPEB Amounts_Report'!M321)</f>
        <v>-317875</v>
      </c>
      <c r="X321" s="129">
        <f>SUM(Q321:U321)-('OPEB Amounts_Report'!H321-'OPEB Amounts_Report'!M321)</f>
        <v>0</v>
      </c>
    </row>
    <row r="322" spans="1:24">
      <c r="A322" s="184">
        <v>2418</v>
      </c>
      <c r="B322" s="185" t="s">
        <v>546</v>
      </c>
      <c r="C322" s="63">
        <f t="shared" si="7"/>
        <v>-91034</v>
      </c>
      <c r="D322" s="63">
        <f t="shared" si="7"/>
        <v>0</v>
      </c>
      <c r="E322" s="63">
        <f t="shared" si="7"/>
        <v>0</v>
      </c>
      <c r="F322" s="63">
        <f t="shared" si="7"/>
        <v>0</v>
      </c>
      <c r="G322" s="63">
        <f t="shared" si="7"/>
        <v>0</v>
      </c>
      <c r="I322" s="186"/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Q322" s="64">
        <f>+K322+VLOOKUP(A322,'Change in Proportion Layers'!$A$8:$N$324,3,FALSE)+VLOOKUP(A322,'Change in Proportion Layers'!$A$8:$Y$324,10,FALSE)+VLOOKUP(A322,'Change in Proportion Layers'!$A$8:$Y$324,16,FALSE)+VLOOKUP(A322,'Change in Proportion Layers'!$A$8:$Y$324,21,FALSE)+VLOOKUP(A322,'Change in Proportion Layers'!$A$8:$Y$324,25,FALSE)</f>
        <v>-91034</v>
      </c>
      <c r="R322" s="64">
        <f>+L322+VLOOKUP(A322,'Change in Proportion Layers'!$A$8:$Y$324,4,FALSE)+VLOOKUP(A322,'Change in Proportion Layers'!$A$8:$Y$324,11,FALSE)+VLOOKUP(A322,'Change in Proportion Layers'!$A$8:$Y$324,17,FALSE)+VLOOKUP(A322,'Change in Proportion Layers'!$A$8:$Y$324,22,FALSE)</f>
        <v>0</v>
      </c>
      <c r="S322" s="64">
        <f>+M322+VLOOKUP(A322,'Change in Proportion Layers'!$A$8:$Y$324,5,FALSE)+VLOOKUP(A322,'Change in Proportion Layers'!$A$8:$Y$324,12,FALSE)+VLOOKUP(A322,'Change in Proportion Layers'!$A$8:$Y$324,18,FALSE)</f>
        <v>0</v>
      </c>
      <c r="T322" s="64">
        <f>+N322+VLOOKUP(A322,'Change in Proportion Layers'!$A$8:$Y$324,6,FALSE)+VLOOKUP(A322,'Change in Proportion Layers'!$A$8:$Y$324,13,FALSE)</f>
        <v>0</v>
      </c>
      <c r="U322" s="64">
        <f>+O322+VLOOKUP(A322,'Change in Proportion Layers'!$A$8:$Y$324,7,FALSE)</f>
        <v>0</v>
      </c>
      <c r="W322" s="64">
        <f>('OPEB Amounts_Report'!H322-'OPEB Amounts_Report'!M322)</f>
        <v>-91034</v>
      </c>
      <c r="X322" s="129">
        <f>SUM(Q322:U322)-('OPEB Amounts_Report'!H322-'OPEB Amounts_Report'!M322)</f>
        <v>0</v>
      </c>
    </row>
    <row r="323" spans="1:24">
      <c r="A323" s="187">
        <v>2345</v>
      </c>
      <c r="B323" s="188" t="s">
        <v>547</v>
      </c>
      <c r="C323" s="5">
        <f t="shared" si="7"/>
        <v>-78216</v>
      </c>
      <c r="D323" s="5">
        <f t="shared" si="7"/>
        <v>0</v>
      </c>
      <c r="E323" s="5">
        <f t="shared" si="7"/>
        <v>0</v>
      </c>
      <c r="F323" s="5">
        <f t="shared" si="7"/>
        <v>0</v>
      </c>
      <c r="G323" s="5">
        <f t="shared" si="7"/>
        <v>0</v>
      </c>
      <c r="I323" s="186"/>
      <c r="K323" s="64">
        <v>0</v>
      </c>
      <c r="L323" s="64">
        <v>0</v>
      </c>
      <c r="M323" s="64">
        <v>0</v>
      </c>
      <c r="N323" s="64">
        <v>0</v>
      </c>
      <c r="O323" s="64">
        <v>0</v>
      </c>
      <c r="Q323" s="64">
        <f>+K323+VLOOKUP(A323,'Change in Proportion Layers'!$A$8:$N$324,3,FALSE)+VLOOKUP(A323,'Change in Proportion Layers'!$A$8:$Y$324,10,FALSE)+VLOOKUP(A323,'Change in Proportion Layers'!$A$8:$Y$324,16,FALSE)+VLOOKUP(A323,'Change in Proportion Layers'!$A$8:$Y$324,21,FALSE)+VLOOKUP(A323,'Change in Proportion Layers'!$A$8:$Y$324,25,FALSE)</f>
        <v>-78216</v>
      </c>
      <c r="R323" s="64">
        <f>+L323+VLOOKUP(A323,'Change in Proportion Layers'!$A$8:$Y$324,4,FALSE)+VLOOKUP(A323,'Change in Proportion Layers'!$A$8:$Y$324,11,FALSE)+VLOOKUP(A323,'Change in Proportion Layers'!$A$8:$Y$324,17,FALSE)+VLOOKUP(A323,'Change in Proportion Layers'!$A$8:$Y$324,22,FALSE)</f>
        <v>0</v>
      </c>
      <c r="S323" s="64">
        <f>+M323+VLOOKUP(A323,'Change in Proportion Layers'!$A$8:$Y$324,5,FALSE)+VLOOKUP(A323,'Change in Proportion Layers'!$A$8:$Y$324,12,FALSE)+VLOOKUP(A323,'Change in Proportion Layers'!$A$8:$Y$324,18,FALSE)</f>
        <v>0</v>
      </c>
      <c r="T323" s="64">
        <f>+N323+VLOOKUP(A323,'Change in Proportion Layers'!$A$8:$Y$324,6,FALSE)+VLOOKUP(A323,'Change in Proportion Layers'!$A$8:$Y$324,13,FALSE)</f>
        <v>0</v>
      </c>
      <c r="U323" s="64">
        <f>+O323+VLOOKUP(A323,'Change in Proportion Layers'!$A$8:$Y$324,7,FALSE)</f>
        <v>0</v>
      </c>
      <c r="W323" s="64">
        <f>('OPEB Amounts_Report'!H323-'OPEB Amounts_Report'!M323)</f>
        <v>-78216</v>
      </c>
      <c r="X323" s="129">
        <f>SUM(Q323:U323)-('OPEB Amounts_Report'!H323-'OPEB Amounts_Report'!M323)</f>
        <v>0</v>
      </c>
    </row>
    <row r="324" spans="1:24">
      <c r="A324" s="189">
        <v>13430</v>
      </c>
      <c r="B324" s="190" t="s">
        <v>548</v>
      </c>
      <c r="C324" s="193">
        <f t="shared" si="7"/>
        <v>-135846</v>
      </c>
      <c r="D324" s="193">
        <f t="shared" si="7"/>
        <v>0</v>
      </c>
      <c r="E324" s="193">
        <f t="shared" si="7"/>
        <v>0</v>
      </c>
      <c r="F324" s="194">
        <f t="shared" si="7"/>
        <v>0</v>
      </c>
      <c r="G324" s="194">
        <f t="shared" si="7"/>
        <v>0</v>
      </c>
      <c r="I324" s="186"/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Q324" s="64">
        <f>+K324+VLOOKUP(A324,'Change in Proportion Layers'!$A$8:$N$324,3,FALSE)+VLOOKUP(A324,'Change in Proportion Layers'!$A$8:$Y$324,10,FALSE)+VLOOKUP(A324,'Change in Proportion Layers'!$A$8:$Y$324,16,FALSE)+VLOOKUP(A324,'Change in Proportion Layers'!$A$8:$Y$324,21,FALSE)+VLOOKUP(A324,'Change in Proportion Layers'!$A$8:$Y$324,25,FALSE)</f>
        <v>-135846</v>
      </c>
      <c r="R324" s="64">
        <f>+L324+VLOOKUP(A324,'Change in Proportion Layers'!$A$8:$Y$324,4,FALSE)+VLOOKUP(A324,'Change in Proportion Layers'!$A$8:$Y$324,11,FALSE)+VLOOKUP(A324,'Change in Proportion Layers'!$A$8:$Y$324,17,FALSE)+VLOOKUP(A324,'Change in Proportion Layers'!$A$8:$Y$324,22,FALSE)</f>
        <v>0</v>
      </c>
      <c r="S324" s="64">
        <f>+M324+VLOOKUP(A324,'Change in Proportion Layers'!$A$8:$Y$324,5,FALSE)+VLOOKUP(A324,'Change in Proportion Layers'!$A$8:$Y$324,12,FALSE)+VLOOKUP(A324,'Change in Proportion Layers'!$A$8:$Y$324,18,FALSE)</f>
        <v>0</v>
      </c>
      <c r="T324" s="64">
        <f>+N324+VLOOKUP(A324,'Change in Proportion Layers'!$A$8:$Y$324,6,FALSE)+VLOOKUP(A324,'Change in Proportion Layers'!$A$8:$Y$324,13,FALSE)</f>
        <v>0</v>
      </c>
      <c r="U324" s="64">
        <f>+O324+VLOOKUP(A324,'Change in Proportion Layers'!$A$8:$Y$324,7,FALSE)</f>
        <v>0</v>
      </c>
      <c r="W324" s="64">
        <f>('OPEB Amounts_Report'!H324-'OPEB Amounts_Report'!M324)</f>
        <v>-135846</v>
      </c>
      <c r="X324" s="129">
        <f>SUM(Q324:U324)-('OPEB Amounts_Report'!H324-'OPEB Amounts_Report'!M324)</f>
        <v>0</v>
      </c>
    </row>
    <row r="325" spans="1:24" ht="8.1" customHeight="1">
      <c r="A325" s="188"/>
      <c r="B325" s="177"/>
      <c r="C325" s="195"/>
      <c r="D325" s="195"/>
      <c r="E325" s="195"/>
      <c r="F325" s="177"/>
      <c r="G325" s="177"/>
      <c r="J325" s="196"/>
    </row>
    <row r="326" spans="1:24" ht="15.75" thickBot="1">
      <c r="A326" s="188"/>
      <c r="B326" s="197"/>
      <c r="C326" s="65">
        <f>SUM(C10:C325)</f>
        <v>-466020524</v>
      </c>
      <c r="D326" s="65">
        <f>SUM(D10:D325)</f>
        <v>-338636749</v>
      </c>
      <c r="E326" s="65">
        <f>SUM(E10:E325)</f>
        <v>-204355507</v>
      </c>
      <c r="F326" s="65">
        <f>SUM(F10:F325)</f>
        <v>-308100747</v>
      </c>
      <c r="G326" s="65">
        <f>SUM(G10:G325)</f>
        <v>-175515558</v>
      </c>
      <c r="I326" s="198"/>
      <c r="J326" s="4"/>
      <c r="K326" s="65">
        <v>-466020524</v>
      </c>
      <c r="L326" s="65">
        <v>-338636749</v>
      </c>
      <c r="M326" s="65">
        <v>-204355507</v>
      </c>
      <c r="N326" s="65">
        <v>-308100747</v>
      </c>
      <c r="O326" s="65">
        <v>-175515558</v>
      </c>
      <c r="Q326" s="65">
        <f>SUM(Q10:Q325)</f>
        <v>-466020524</v>
      </c>
      <c r="R326" s="65">
        <f t="shared" ref="R326:U326" si="8">SUM(R10:R325)</f>
        <v>-338636749</v>
      </c>
      <c r="S326" s="65">
        <f t="shared" si="8"/>
        <v>-204355507</v>
      </c>
      <c r="T326" s="65">
        <f t="shared" si="8"/>
        <v>-308100747</v>
      </c>
      <c r="U326" s="65">
        <f t="shared" si="8"/>
        <v>-175515558</v>
      </c>
    </row>
    <row r="327" spans="1:24" ht="15.75" thickTop="1">
      <c r="A327" s="62" t="s">
        <v>549</v>
      </c>
      <c r="C327" s="199"/>
      <c r="D327" s="199"/>
      <c r="E327" s="199"/>
      <c r="F327" s="199"/>
      <c r="G327" s="199"/>
      <c r="I327" s="200"/>
      <c r="J327" s="201"/>
    </row>
    <row r="328" spans="1:24">
      <c r="A328" s="62" t="s">
        <v>550</v>
      </c>
      <c r="C328" s="64"/>
      <c r="D328" s="64"/>
      <c r="E328" s="64"/>
      <c r="F328" s="64"/>
      <c r="G328" s="64"/>
      <c r="I328" s="202"/>
      <c r="J328" s="201"/>
      <c r="K328" s="129">
        <v>-465825852</v>
      </c>
      <c r="L328" s="129">
        <v>-338512160</v>
      </c>
      <c r="M328" s="129">
        <v>-204355507</v>
      </c>
      <c r="N328" s="129">
        <v>-308100747</v>
      </c>
      <c r="O328" s="129">
        <v>-175515558</v>
      </c>
      <c r="Q328" s="129">
        <v>-465825852</v>
      </c>
      <c r="R328" s="129">
        <v>-338512160</v>
      </c>
      <c r="S328" s="129">
        <v>-204355507</v>
      </c>
      <c r="T328" s="129">
        <v>-308100747</v>
      </c>
      <c r="U328" s="129">
        <v>-175515558</v>
      </c>
      <c r="X328" s="129">
        <f>SUM(X10:X324)</f>
        <v>1</v>
      </c>
    </row>
    <row r="329" spans="1:24">
      <c r="A329" s="62" t="s">
        <v>551</v>
      </c>
      <c r="C329" s="7"/>
      <c r="D329" s="7"/>
      <c r="E329" s="7"/>
      <c r="F329" s="7"/>
      <c r="G329" s="7"/>
      <c r="K329" s="203" t="s">
        <v>386</v>
      </c>
      <c r="Q329" s="203" t="s">
        <v>386</v>
      </c>
    </row>
    <row r="330" spans="1:24">
      <c r="A330" s="62" t="s">
        <v>552</v>
      </c>
      <c r="K330" s="129">
        <f>+K326-K328</f>
        <v>-194672</v>
      </c>
      <c r="L330" s="129">
        <f>+L326-L328</f>
        <v>-124589</v>
      </c>
      <c r="M330" s="129">
        <f>+M326-M328</f>
        <v>0</v>
      </c>
      <c r="N330" s="129">
        <f>+N326-N328</f>
        <v>0</v>
      </c>
      <c r="O330" s="129">
        <f>+O326-O328</f>
        <v>0</v>
      </c>
      <c r="Q330" s="129">
        <f>+Q326-Q328</f>
        <v>-194672</v>
      </c>
      <c r="R330" s="129">
        <f>+R326-R328</f>
        <v>-124589</v>
      </c>
      <c r="S330" s="129">
        <f>+S326-S328</f>
        <v>0</v>
      </c>
      <c r="T330" s="129">
        <f>+T326-T328</f>
        <v>0</v>
      </c>
      <c r="U330" s="129">
        <f>+U326-U328</f>
        <v>0</v>
      </c>
    </row>
    <row r="331" spans="1:24">
      <c r="K331" s="132" t="s">
        <v>464</v>
      </c>
    </row>
    <row r="332" spans="1:24">
      <c r="Q332" s="132">
        <v>-466020524</v>
      </c>
      <c r="R332" s="132">
        <v>-338636749</v>
      </c>
    </row>
    <row r="333" spans="1:24">
      <c r="J333" s="39"/>
      <c r="Q333" s="7">
        <f>+Q326-Q332</f>
        <v>0</v>
      </c>
      <c r="R333" s="7">
        <f>+R326-R332</f>
        <v>0</v>
      </c>
    </row>
    <row r="334" spans="1:24">
      <c r="J334" s="7"/>
    </row>
    <row r="335" spans="1:24">
      <c r="K335" s="73"/>
      <c r="L335" s="73"/>
    </row>
    <row r="336" spans="1:24">
      <c r="K336" s="62"/>
      <c r="L336" s="62"/>
    </row>
    <row r="337" spans="11:14">
      <c r="K337" s="204"/>
      <c r="L337" s="101"/>
      <c r="N337" s="52"/>
    </row>
    <row r="338" spans="11:14">
      <c r="K338" s="204"/>
      <c r="L338" s="82"/>
      <c r="N338" s="52"/>
    </row>
    <row r="339" spans="11:14">
      <c r="K339" s="204"/>
      <c r="L339" s="82"/>
      <c r="N339" s="52"/>
    </row>
    <row r="340" spans="11:14">
      <c r="K340" s="204"/>
      <c r="L340" s="82"/>
      <c r="N340" s="52"/>
    </row>
    <row r="341" spans="11:14">
      <c r="K341" s="204"/>
      <c r="L341" s="82"/>
      <c r="N341" s="52"/>
    </row>
    <row r="342" spans="11:14">
      <c r="K342" s="62"/>
      <c r="L342" s="62"/>
    </row>
    <row r="343" spans="11:14">
      <c r="K343" s="62"/>
      <c r="L343" s="69"/>
    </row>
    <row r="344" spans="11:14">
      <c r="K344" s="62"/>
      <c r="L344" s="62"/>
    </row>
  </sheetData>
  <mergeCells count="8">
    <mergeCell ref="K8:O8"/>
    <mergeCell ref="Q8:U8"/>
    <mergeCell ref="A1:G1"/>
    <mergeCell ref="A2:G2"/>
    <mergeCell ref="A3:G3"/>
    <mergeCell ref="C6:G6"/>
    <mergeCell ref="K6:O6"/>
    <mergeCell ref="Q6:U6"/>
  </mergeCells>
  <printOptions horizontalCentered="1"/>
  <pageMargins left="0.7" right="0.7" top="0.5" bottom="0.5" header="0.5" footer="0.5"/>
  <pageSetup scale="57" firstPageNumber="24" fitToHeight="0" orientation="portrait" useFirstPageNumber="1" r:id="rId1"/>
  <headerFooter scaleWithDoc="0">
    <oddFooter>&amp;C&amp;"Arial,Regular"&amp;10&amp;P</oddFooter>
    <evenFooter>&amp;R&amp;"Arial,Regular"&amp;10&amp;P</evenFooter>
  </headerFooter>
  <rowBreaks count="4" manualBreakCount="4">
    <brk id="80" max="6" man="1"/>
    <brk id="149" max="6" man="1"/>
    <brk id="219" max="6" man="1"/>
    <brk id="29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C093B-32EC-4885-A9FC-6749855C6111}">
  <sheetPr>
    <tabColor rgb="FF92D050"/>
  </sheetPr>
  <dimension ref="A1:K323"/>
  <sheetViews>
    <sheetView view="pageBreakPreview" topLeftCell="A8" zoomScaleNormal="100" zoomScaleSheetLayoutView="100" workbookViewId="0">
      <selection activeCell="D21" sqref="D21"/>
    </sheetView>
  </sheetViews>
  <sheetFormatPr defaultColWidth="8.7109375" defaultRowHeight="15"/>
  <cols>
    <col min="1" max="1" width="13.5703125" style="62" customWidth="1"/>
    <col min="2" max="2" width="76.28515625" style="62" bestFit="1" customWidth="1"/>
    <col min="3" max="5" width="15" style="62" customWidth="1"/>
    <col min="6" max="6" width="2" style="132" customWidth="1"/>
    <col min="7" max="16384" width="8.7109375" style="132"/>
  </cols>
  <sheetData>
    <row r="1" spans="1:11" ht="18">
      <c r="A1" s="257" t="s">
        <v>391</v>
      </c>
      <c r="B1" s="257"/>
      <c r="C1" s="257"/>
      <c r="D1" s="257"/>
      <c r="E1" s="257"/>
    </row>
    <row r="2" spans="1:11" ht="15.75">
      <c r="A2" s="258" t="s">
        <v>395</v>
      </c>
      <c r="B2" s="258"/>
      <c r="C2" s="258"/>
      <c r="D2" s="258"/>
      <c r="E2" s="258"/>
    </row>
    <row r="3" spans="1:11" ht="15.75">
      <c r="A3" s="261" t="s">
        <v>553</v>
      </c>
      <c r="B3" s="258"/>
      <c r="C3" s="258"/>
      <c r="D3" s="258"/>
      <c r="E3" s="258"/>
    </row>
    <row r="5" spans="1:11" ht="59.1" customHeight="1">
      <c r="A5" s="178" t="s">
        <v>0</v>
      </c>
      <c r="B5" s="179" t="s">
        <v>1</v>
      </c>
      <c r="C5" s="178" t="s">
        <v>556</v>
      </c>
      <c r="D5" s="178" t="s">
        <v>557</v>
      </c>
      <c r="E5" s="178" t="s">
        <v>558</v>
      </c>
    </row>
    <row r="6" spans="1:11">
      <c r="A6" s="183"/>
      <c r="B6" s="183"/>
      <c r="C6" s="183" t="s">
        <v>423</v>
      </c>
      <c r="D6" s="183" t="s">
        <v>424</v>
      </c>
      <c r="E6" s="183" t="s">
        <v>559</v>
      </c>
    </row>
    <row r="7" spans="1:11">
      <c r="A7" s="183"/>
      <c r="B7" s="183"/>
      <c r="C7" s="183"/>
      <c r="D7" s="183"/>
      <c r="E7" s="183"/>
    </row>
    <row r="8" spans="1:11">
      <c r="A8" s="143">
        <v>1341</v>
      </c>
      <c r="B8" s="144" t="s">
        <v>5</v>
      </c>
      <c r="C8" s="78">
        <f>ROUND(VLOOKUP(A8,'Contribution Allocation_Report'!$A$9:$D$311,4,FALSE)*$C$312,0)-6</f>
        <v>686985144</v>
      </c>
      <c r="D8" s="78">
        <f>ROUND(VLOOKUP(A8,'Contribution Allocation_Report'!$A$9:$D$308,4,FALSE)*$D$312,0)-2</f>
        <v>552044291</v>
      </c>
      <c r="E8" s="78">
        <f>ROUND(VLOOKUP(A8,'Contribution Allocation_Report'!$A$9:$D$308,4,FALSE)*$E$312,0)-12</f>
        <v>444456064</v>
      </c>
      <c r="H8" s="39"/>
      <c r="J8" s="164">
        <v>1341</v>
      </c>
      <c r="K8" s="205">
        <f>+A8-J8</f>
        <v>0</v>
      </c>
    </row>
    <row r="9" spans="1:11">
      <c r="A9" s="147">
        <v>2308</v>
      </c>
      <c r="B9" s="148" t="s">
        <v>6</v>
      </c>
      <c r="C9" s="60">
        <f>ROUND(VLOOKUP(A9,'Contribution Allocation_Report'!$A$9:$D$311,4,FALSE)*$C$312,0)</f>
        <v>1299662</v>
      </c>
      <c r="D9" s="60">
        <f>ROUND(VLOOKUP(A9,'Contribution Allocation_Report'!$A$9:$D$311,4,FALSE)*$D$312,0)</f>
        <v>1044376</v>
      </c>
      <c r="E9" s="60">
        <f>ROUND(VLOOKUP(A9,'Contribution Allocation_Report'!$A$9:$D$311,4,FALSE)*$E$312,0)</f>
        <v>840837</v>
      </c>
      <c r="H9" s="39"/>
      <c r="J9" s="166">
        <v>2308</v>
      </c>
      <c r="K9" s="205">
        <f t="shared" ref="K9:K73" si="0">+A9-J9</f>
        <v>0</v>
      </c>
    </row>
    <row r="10" spans="1:11">
      <c r="A10" s="143">
        <v>2340</v>
      </c>
      <c r="B10" s="149" t="s">
        <v>7</v>
      </c>
      <c r="C10" s="61">
        <f>ROUND(VLOOKUP(A10,'Contribution Allocation_Report'!$A$9:$D$311,4,FALSE)*$C$312,0)</f>
        <v>1151420</v>
      </c>
      <c r="D10" s="61">
        <f>ROUND(VLOOKUP(A10,'Contribution Allocation_Report'!$A$9:$D$311,4,FALSE)*$D$312,0)</f>
        <v>925252</v>
      </c>
      <c r="E10" s="61">
        <f>ROUND(VLOOKUP(A10,'Contribution Allocation_Report'!$A$9:$D$311,4,FALSE)*$E$312,0)</f>
        <v>744929</v>
      </c>
      <c r="H10" s="39"/>
      <c r="J10" s="164">
        <v>2340</v>
      </c>
      <c r="K10" s="205">
        <f t="shared" si="0"/>
        <v>0</v>
      </c>
    </row>
    <row r="11" spans="1:11">
      <c r="A11" s="147">
        <v>1301</v>
      </c>
      <c r="B11" s="148" t="s">
        <v>8</v>
      </c>
      <c r="C11" s="60">
        <f>ROUND(VLOOKUP(A11,'Contribution Allocation_Report'!$A$9:$D$311,4,FALSE)*$C$312,0)</f>
        <v>1348481</v>
      </c>
      <c r="D11" s="60">
        <f>ROUND(VLOOKUP(A11,'Contribution Allocation_Report'!$A$9:$D$311,4,FALSE)*$D$312,0)</f>
        <v>1083606</v>
      </c>
      <c r="E11" s="60">
        <f>ROUND(VLOOKUP(A11,'Contribution Allocation_Report'!$A$9:$D$311,4,FALSE)*$E$312,0)</f>
        <v>872422</v>
      </c>
      <c r="H11" s="39"/>
      <c r="J11" s="166">
        <v>1301</v>
      </c>
      <c r="K11" s="205">
        <f t="shared" si="0"/>
        <v>0</v>
      </c>
    </row>
    <row r="12" spans="1:11">
      <c r="A12" s="143">
        <v>2390</v>
      </c>
      <c r="B12" s="149" t="s">
        <v>9</v>
      </c>
      <c r="C12" s="61">
        <f>ROUND(VLOOKUP(A12,'Contribution Allocation_Report'!$A$9:$D$311,4,FALSE)*$C$312,0)</f>
        <v>936121</v>
      </c>
      <c r="D12" s="61">
        <f>ROUND(VLOOKUP(A12,'Contribution Allocation_Report'!$A$9:$D$311,4,FALSE)*$D$312,0)</f>
        <v>752244</v>
      </c>
      <c r="E12" s="61">
        <f>ROUND(VLOOKUP(A12,'Contribution Allocation_Report'!$A$9:$D$311,4,FALSE)*$E$312,0)</f>
        <v>605639</v>
      </c>
      <c r="H12" s="39"/>
      <c r="J12" s="164">
        <v>2390</v>
      </c>
      <c r="K12" s="205">
        <f t="shared" si="0"/>
        <v>0</v>
      </c>
    </row>
    <row r="13" spans="1:11">
      <c r="A13" s="147">
        <v>2441</v>
      </c>
      <c r="B13" s="148" t="s">
        <v>437</v>
      </c>
      <c r="C13" s="60">
        <f>ROUND(VLOOKUP(A13,'Contribution Allocation_Report'!$A$9:$D$311,4,FALSE)*$C$312,0)</f>
        <v>263863</v>
      </c>
      <c r="D13" s="60">
        <f>ROUND(VLOOKUP(A13,'Contribution Allocation_Report'!$A$9:$D$311,4,FALSE)*$D$312,0)</f>
        <v>212034</v>
      </c>
      <c r="E13" s="60">
        <f>ROUND(VLOOKUP(A13,'Contribution Allocation_Report'!$A$9:$D$311,4,FALSE)*$E$312,0)</f>
        <v>170710</v>
      </c>
      <c r="H13" s="39"/>
      <c r="J13" s="166">
        <v>2441</v>
      </c>
      <c r="K13" s="205">
        <f t="shared" si="0"/>
        <v>0</v>
      </c>
    </row>
    <row r="14" spans="1:11">
      <c r="A14" s="143">
        <v>15046</v>
      </c>
      <c r="B14" s="149" t="s">
        <v>10</v>
      </c>
      <c r="C14" s="61">
        <f>ROUND(VLOOKUP(A14,'Contribution Allocation_Report'!$A$9:$D$311,4,FALSE)*$C$312,0)</f>
        <v>19334652</v>
      </c>
      <c r="D14" s="61">
        <f>ROUND(VLOOKUP(A14,'Contribution Allocation_Report'!$A$9:$D$311,4,FALSE)*$D$312,0)</f>
        <v>15536849</v>
      </c>
      <c r="E14" s="61">
        <f>ROUND(VLOOKUP(A14,'Contribution Allocation_Report'!$A$9:$D$311,4,FALSE)*$E$312,0)</f>
        <v>12508864</v>
      </c>
      <c r="J14" s="164">
        <v>15046</v>
      </c>
      <c r="K14" s="205">
        <f t="shared" si="0"/>
        <v>0</v>
      </c>
    </row>
    <row r="15" spans="1:11">
      <c r="A15" s="147">
        <v>4380</v>
      </c>
      <c r="B15" s="148" t="s">
        <v>11</v>
      </c>
      <c r="C15" s="60">
        <f>ROUND(VLOOKUP(A15,'Contribution Allocation_Report'!$A$9:$D$311,4,FALSE)*$C$312,0)</f>
        <v>20145695</v>
      </c>
      <c r="D15" s="60">
        <f>ROUND(VLOOKUP(A15,'Contribution Allocation_Report'!$A$9:$D$311,4,FALSE)*$D$312,0)</f>
        <v>16188583</v>
      </c>
      <c r="E15" s="60">
        <f>ROUND(VLOOKUP(A15,'Contribution Allocation_Report'!$A$9:$D$311,4,FALSE)*$E$312,0)</f>
        <v>13033581</v>
      </c>
      <c r="J15" s="166">
        <v>4380</v>
      </c>
      <c r="K15" s="205">
        <f t="shared" si="0"/>
        <v>0</v>
      </c>
    </row>
    <row r="16" spans="1:11">
      <c r="A16" s="143">
        <v>2343</v>
      </c>
      <c r="B16" s="185" t="s">
        <v>438</v>
      </c>
      <c r="C16" s="61">
        <f>ROUND(VLOOKUP(A16,'Contribution Allocation_Report'!$A$9:$D$311,4,FALSE)*$C$312,0)</f>
        <v>1253703</v>
      </c>
      <c r="D16" s="61">
        <f>ROUND(VLOOKUP(A16,'Contribution Allocation_Report'!$A$9:$D$311,4,FALSE)*$D$312,0)</f>
        <v>1007444</v>
      </c>
      <c r="E16" s="61">
        <f>ROUND(VLOOKUP(A16,'Contribution Allocation_Report'!$A$9:$D$311,4,FALSE)*$E$312,0)</f>
        <v>811103</v>
      </c>
      <c r="J16" s="164">
        <v>2343</v>
      </c>
      <c r="K16" s="205">
        <f t="shared" si="0"/>
        <v>0</v>
      </c>
    </row>
    <row r="17" spans="1:11">
      <c r="A17" s="147">
        <v>2435</v>
      </c>
      <c r="B17" s="148" t="s">
        <v>408</v>
      </c>
      <c r="C17" s="60">
        <f>ROUND(VLOOKUP(A17,'Contribution Allocation_Report'!$A$9:$D$311,4,FALSE)*$C$312,0)</f>
        <v>540016</v>
      </c>
      <c r="D17" s="60">
        <f>ROUND(VLOOKUP(A17,'Contribution Allocation_Report'!$A$9:$D$311,4,FALSE)*$D$312,0)</f>
        <v>433943</v>
      </c>
      <c r="E17" s="60">
        <f>ROUND(VLOOKUP(A17,'Contribution Allocation_Report'!$A$9:$D$311,4,FALSE)*$E$312,0)</f>
        <v>349372</v>
      </c>
      <c r="J17" s="166">
        <v>2435</v>
      </c>
      <c r="K17" s="205">
        <f t="shared" si="0"/>
        <v>0</v>
      </c>
    </row>
    <row r="18" spans="1:11">
      <c r="A18" s="143">
        <v>4560</v>
      </c>
      <c r="B18" s="149" t="s">
        <v>12</v>
      </c>
      <c r="C18" s="61">
        <f>ROUND(VLOOKUP(A18,'Contribution Allocation_Report'!$A$9:$D$311,4,FALSE)*$C$312,0)</f>
        <v>1684441</v>
      </c>
      <c r="D18" s="61">
        <f>ROUND(VLOOKUP(A18,'Contribution Allocation_Report'!$A$9:$D$311,4,FALSE)*$D$312,0)</f>
        <v>1353575</v>
      </c>
      <c r="E18" s="61">
        <f>ROUND(VLOOKUP(A18,'Contribution Allocation_Report'!$A$9:$D$311,4,FALSE)*$E$312,0)</f>
        <v>1089776</v>
      </c>
      <c r="J18" s="164">
        <v>4560</v>
      </c>
      <c r="K18" s="205">
        <f t="shared" si="0"/>
        <v>0</v>
      </c>
    </row>
    <row r="19" spans="1:11">
      <c r="A19" s="147">
        <v>2341</v>
      </c>
      <c r="B19" s="148" t="s">
        <v>434</v>
      </c>
      <c r="C19" s="60">
        <f>ROUND(VLOOKUP(A19,'Contribution Allocation_Report'!$A$9:$D$311,4,FALSE)*$C$312,0)</f>
        <v>1061143</v>
      </c>
      <c r="D19" s="60">
        <f>ROUND(VLOOKUP(A19,'Contribution Allocation_Report'!$A$9:$D$311,4,FALSE)*$D$312,0)</f>
        <v>852709</v>
      </c>
      <c r="E19" s="60">
        <f>ROUND(VLOOKUP(A19,'Contribution Allocation_Report'!$A$9:$D$311,4,FALSE)*$E$312,0)</f>
        <v>686524</v>
      </c>
      <c r="J19" s="166">
        <v>2341</v>
      </c>
      <c r="K19" s="205">
        <f t="shared" si="0"/>
        <v>0</v>
      </c>
    </row>
    <row r="20" spans="1:11">
      <c r="A20" s="143">
        <v>4580</v>
      </c>
      <c r="B20" s="149" t="s">
        <v>409</v>
      </c>
      <c r="C20" s="61">
        <f>ROUND(VLOOKUP(A20,'Contribution Allocation_Report'!$A$9:$D$311,4,FALSE)*$C$312,0)</f>
        <v>932921</v>
      </c>
      <c r="D20" s="61">
        <f>ROUND(VLOOKUP(A20,'Contribution Allocation_Report'!$A$9:$D$311,4,FALSE)*$D$312,0)</f>
        <v>749673</v>
      </c>
      <c r="E20" s="61">
        <f>ROUND(VLOOKUP(A20,'Contribution Allocation_Report'!$A$9:$D$311,4,FALSE)*$E$312,0)</f>
        <v>603569</v>
      </c>
      <c r="J20" s="164">
        <v>4580</v>
      </c>
      <c r="K20" s="205">
        <f t="shared" si="0"/>
        <v>0</v>
      </c>
    </row>
    <row r="21" spans="1:11">
      <c r="A21" s="147">
        <v>2003</v>
      </c>
      <c r="B21" s="148" t="s">
        <v>13</v>
      </c>
      <c r="C21" s="60">
        <f>ROUND(VLOOKUP(A21,'Contribution Allocation_Report'!$A$9:$D$311,4,FALSE)*$C$312,0)</f>
        <v>329132848</v>
      </c>
      <c r="D21" s="60">
        <f>ROUND(VLOOKUP(A21,'Contribution Allocation_Report'!$A$9:$D$311,4,FALSE)*$D$312,0)</f>
        <v>264483025</v>
      </c>
      <c r="E21" s="60">
        <f>ROUND(VLOOKUP(A21,'Contribution Allocation_Report'!$A$9:$D$311,4,FALSE)*$E$312,0)</f>
        <v>212937782</v>
      </c>
      <c r="J21" s="166">
        <v>2003</v>
      </c>
      <c r="K21" s="205">
        <f t="shared" si="0"/>
        <v>0</v>
      </c>
    </row>
    <row r="22" spans="1:11">
      <c r="A22" s="143">
        <v>2412</v>
      </c>
      <c r="B22" s="149" t="s">
        <v>14</v>
      </c>
      <c r="C22" s="61">
        <f>ROUND(VLOOKUP(A22,'Contribution Allocation_Report'!$A$9:$D$311,4,FALSE)*$C$312,0)</f>
        <v>3005709</v>
      </c>
      <c r="D22" s="61">
        <f>ROUND(VLOOKUP(A22,'Contribution Allocation_Report'!$A$9:$D$311,4,FALSE)*$D$312,0)</f>
        <v>2415313</v>
      </c>
      <c r="E22" s="61">
        <f>ROUND(VLOOKUP(A22,'Contribution Allocation_Report'!$A$9:$D$311,4,FALSE)*$E$312,0)</f>
        <v>1944592</v>
      </c>
      <c r="J22" s="164">
        <v>2412</v>
      </c>
      <c r="K22" s="205">
        <f t="shared" si="0"/>
        <v>0</v>
      </c>
    </row>
    <row r="23" spans="1:11">
      <c r="A23" s="147">
        <v>2402</v>
      </c>
      <c r="B23" s="148" t="s">
        <v>15</v>
      </c>
      <c r="C23" s="60">
        <f>ROUND(VLOOKUP(A23,'Contribution Allocation_Report'!$A$9:$D$311,4,FALSE)*$C$312,0)</f>
        <v>1043558</v>
      </c>
      <c r="D23" s="60">
        <f>ROUND(VLOOKUP(A23,'Contribution Allocation_Report'!$A$9:$D$311,4,FALSE)*$D$312,0)</f>
        <v>838578</v>
      </c>
      <c r="E23" s="60">
        <f>ROUND(VLOOKUP(A23,'Contribution Allocation_Report'!$A$9:$D$311,4,FALSE)*$E$312,0)</f>
        <v>675147</v>
      </c>
      <c r="J23" s="166">
        <v>2402</v>
      </c>
      <c r="K23" s="205">
        <f t="shared" si="0"/>
        <v>0</v>
      </c>
    </row>
    <row r="24" spans="1:11">
      <c r="A24" s="143">
        <v>2361</v>
      </c>
      <c r="B24" s="149" t="s">
        <v>16</v>
      </c>
      <c r="C24" s="61">
        <f>ROUND(VLOOKUP(A24,'Contribution Allocation_Report'!$A$9:$D$311,4,FALSE)*$C$312,0)</f>
        <v>647764</v>
      </c>
      <c r="D24" s="61">
        <f>ROUND(VLOOKUP(A24,'Contribution Allocation_Report'!$A$9:$D$311,4,FALSE)*$D$312,0)</f>
        <v>520527</v>
      </c>
      <c r="E24" s="61">
        <f>ROUND(VLOOKUP(A24,'Contribution Allocation_Report'!$A$9:$D$311,4,FALSE)*$E$312,0)</f>
        <v>419081</v>
      </c>
      <c r="J24" s="164">
        <v>2361</v>
      </c>
      <c r="K24" s="205">
        <f t="shared" si="0"/>
        <v>0</v>
      </c>
    </row>
    <row r="25" spans="1:11">
      <c r="A25" s="147">
        <v>8347</v>
      </c>
      <c r="B25" s="148" t="s">
        <v>17</v>
      </c>
      <c r="C25" s="60">
        <f>ROUND(VLOOKUP(A25,'Contribution Allocation_Report'!$A$9:$D$311,4,FALSE)*$C$312,0)</f>
        <v>758259</v>
      </c>
      <c r="D25" s="60">
        <f>ROUND(VLOOKUP(A25,'Contribution Allocation_Report'!$A$9:$D$311,4,FALSE)*$D$312,0)</f>
        <v>609318</v>
      </c>
      <c r="E25" s="60">
        <f>ROUND(VLOOKUP(A25,'Contribution Allocation_Report'!$A$9:$D$311,4,FALSE)*$E$312,0)</f>
        <v>490568</v>
      </c>
      <c r="J25" s="166">
        <v>8347</v>
      </c>
      <c r="K25" s="205">
        <f t="shared" si="0"/>
        <v>0</v>
      </c>
    </row>
    <row r="26" spans="1:11">
      <c r="A26" s="143">
        <v>2356</v>
      </c>
      <c r="B26" s="149" t="s">
        <v>18</v>
      </c>
      <c r="C26" s="61">
        <f>ROUND(VLOOKUP(A26,'Contribution Allocation_Report'!$A$9:$D$311,4,FALSE)*$C$312,0)</f>
        <v>1687442</v>
      </c>
      <c r="D26" s="61">
        <f>ROUND(VLOOKUP(A26,'Contribution Allocation_Report'!$A$9:$D$311,4,FALSE)*$D$312,0)</f>
        <v>1355987</v>
      </c>
      <c r="E26" s="61">
        <f>ROUND(VLOOKUP(A26,'Contribution Allocation_Report'!$A$9:$D$311,4,FALSE)*$E$312,0)</f>
        <v>1091718</v>
      </c>
      <c r="J26" s="164">
        <v>2356</v>
      </c>
      <c r="K26" s="205">
        <f t="shared" si="0"/>
        <v>0</v>
      </c>
    </row>
    <row r="27" spans="1:11">
      <c r="A27" s="147">
        <v>7335</v>
      </c>
      <c r="B27" s="148" t="s">
        <v>19</v>
      </c>
      <c r="C27" s="60">
        <f>ROUND(VLOOKUP(A27,'Contribution Allocation_Report'!$A$9:$D$311,4,FALSE)*$C$312,0)</f>
        <v>768368</v>
      </c>
      <c r="D27" s="60">
        <f>ROUND(VLOOKUP(A27,'Contribution Allocation_Report'!$A$9:$D$311,4,FALSE)*$D$312,0)</f>
        <v>617442</v>
      </c>
      <c r="E27" s="60">
        <f>ROUND(VLOOKUP(A27,'Contribution Allocation_Report'!$A$9:$D$311,4,FALSE)*$E$312,0)</f>
        <v>497108</v>
      </c>
      <c r="J27" s="166">
        <v>7335</v>
      </c>
      <c r="K27" s="205">
        <f t="shared" si="0"/>
        <v>0</v>
      </c>
    </row>
    <row r="28" spans="1:11">
      <c r="A28" s="143">
        <v>575</v>
      </c>
      <c r="B28" s="149" t="s">
        <v>410</v>
      </c>
      <c r="C28" s="61">
        <f>ROUND(VLOOKUP(A28,'Contribution Allocation_Report'!$A$9:$D$311,4,FALSE)*$C$312,0)</f>
        <v>576772</v>
      </c>
      <c r="D28" s="61">
        <f>ROUND(VLOOKUP(A28,'Contribution Allocation_Report'!$A$9:$D$311,4,FALSE)*$D$312,0)</f>
        <v>463480</v>
      </c>
      <c r="E28" s="61">
        <f>ROUND(VLOOKUP(A28,'Contribution Allocation_Report'!$A$9:$D$311,4,FALSE)*$E$312,0)</f>
        <v>373152</v>
      </c>
      <c r="J28" s="164">
        <v>575</v>
      </c>
      <c r="K28" s="205">
        <f t="shared" si="0"/>
        <v>0</v>
      </c>
    </row>
    <row r="29" spans="1:11">
      <c r="A29" s="147">
        <v>2303</v>
      </c>
      <c r="B29" s="148" t="s">
        <v>20</v>
      </c>
      <c r="C29" s="60">
        <f>ROUND(VLOOKUP(A29,'Contribution Allocation_Report'!$A$9:$D$311,4,FALSE)*$C$312,0)</f>
        <v>1201881</v>
      </c>
      <c r="D29" s="60">
        <f>ROUND(VLOOKUP(A29,'Contribution Allocation_Report'!$A$9:$D$311,4,FALSE)*$D$312,0)</f>
        <v>965802</v>
      </c>
      <c r="E29" s="60">
        <f>ROUND(VLOOKUP(A29,'Contribution Allocation_Report'!$A$9:$D$311,4,FALSE)*$E$312,0)</f>
        <v>777577</v>
      </c>
      <c r="J29" s="166">
        <v>2303</v>
      </c>
      <c r="K29" s="205">
        <f t="shared" si="0"/>
        <v>0</v>
      </c>
    </row>
    <row r="30" spans="1:11">
      <c r="A30" s="143">
        <v>20316</v>
      </c>
      <c r="B30" s="149" t="s">
        <v>21</v>
      </c>
      <c r="C30" s="61">
        <f>ROUND(VLOOKUP(A30,'Contribution Allocation_Report'!$A$9:$D$311,4,FALSE)*$C$312,0)</f>
        <v>756277</v>
      </c>
      <c r="D30" s="61">
        <f>ROUND(VLOOKUP(A30,'Contribution Allocation_Report'!$A$9:$D$311,4,FALSE)*$D$312,0)</f>
        <v>607725</v>
      </c>
      <c r="E30" s="61">
        <f>ROUND(VLOOKUP(A30,'Contribution Allocation_Report'!$A$9:$D$311,4,FALSE)*$E$312,0)</f>
        <v>489285</v>
      </c>
      <c r="J30" s="164">
        <v>20316</v>
      </c>
      <c r="K30" s="205">
        <f t="shared" si="0"/>
        <v>0</v>
      </c>
    </row>
    <row r="31" spans="1:11">
      <c r="A31" s="147">
        <v>23121</v>
      </c>
      <c r="B31" s="148" t="s">
        <v>22</v>
      </c>
      <c r="C31" s="60">
        <f>ROUND(VLOOKUP(A31,'Contribution Allocation_Report'!$A$9:$D$311,4,FALSE)*$C$312,0)</f>
        <v>882148</v>
      </c>
      <c r="D31" s="60">
        <f>ROUND(VLOOKUP(A31,'Contribution Allocation_Report'!$A$9:$D$311,4,FALSE)*$D$312,0)</f>
        <v>708872</v>
      </c>
      <c r="E31" s="60">
        <f>ROUND(VLOOKUP(A31,'Contribution Allocation_Report'!$A$9:$D$311,4,FALSE)*$E$312,0)</f>
        <v>570720</v>
      </c>
      <c r="J31" s="166">
        <v>23121</v>
      </c>
      <c r="K31" s="205">
        <f t="shared" si="0"/>
        <v>0</v>
      </c>
    </row>
    <row r="32" spans="1:11">
      <c r="A32" s="143">
        <v>3004</v>
      </c>
      <c r="B32" s="149" t="s">
        <v>23</v>
      </c>
      <c r="C32" s="61">
        <f>ROUND(VLOOKUP(A32,'Contribution Allocation_Report'!$A$9:$D$311,4,FALSE)*$C$312,0)</f>
        <v>13783422</v>
      </c>
      <c r="D32" s="61">
        <f>ROUND(VLOOKUP(A32,'Contribution Allocation_Report'!$A$9:$D$311,4,FALSE)*$D$312,0)</f>
        <v>11076018</v>
      </c>
      <c r="E32" s="61">
        <f>ROUND(VLOOKUP(A32,'Contribution Allocation_Report'!$A$9:$D$311,4,FALSE)*$E$312,0)</f>
        <v>8917407</v>
      </c>
      <c r="J32" s="164">
        <v>3004</v>
      </c>
      <c r="K32" s="205">
        <f t="shared" si="0"/>
        <v>0</v>
      </c>
    </row>
    <row r="33" spans="1:11">
      <c r="A33" s="147">
        <v>16050</v>
      </c>
      <c r="B33" s="148" t="s">
        <v>24</v>
      </c>
      <c r="C33" s="60">
        <f>ROUND(VLOOKUP(A33,'Contribution Allocation_Report'!$A$9:$D$311,4,FALSE)*$C$312,0)</f>
        <v>9471397</v>
      </c>
      <c r="D33" s="60">
        <f>ROUND(VLOOKUP(A33,'Contribution Allocation_Report'!$A$9:$D$311,4,FALSE)*$D$312,0)</f>
        <v>7610981</v>
      </c>
      <c r="E33" s="60">
        <f>ROUND(VLOOKUP(A33,'Contribution Allocation_Report'!$A$9:$D$311,4,FALSE)*$E$312,0)</f>
        <v>6127672</v>
      </c>
      <c r="J33" s="166">
        <v>16050</v>
      </c>
      <c r="K33" s="205">
        <f t="shared" si="0"/>
        <v>0</v>
      </c>
    </row>
    <row r="34" spans="1:11">
      <c r="A34" s="143">
        <v>14043</v>
      </c>
      <c r="B34" s="149" t="s">
        <v>25</v>
      </c>
      <c r="C34" s="61">
        <f>ROUND(VLOOKUP(A34,'Contribution Allocation_Report'!$A$9:$D$311,4,FALSE)*$C$312,0)</f>
        <v>13733187</v>
      </c>
      <c r="D34" s="61">
        <f>ROUND(VLOOKUP(A34,'Contribution Allocation_Report'!$A$9:$D$311,4,FALSE)*$D$312,0)</f>
        <v>11035650</v>
      </c>
      <c r="E34" s="61">
        <f>ROUND(VLOOKUP(A34,'Contribution Allocation_Report'!$A$9:$D$311,4,FALSE)*$E$312,0)</f>
        <v>8884906</v>
      </c>
      <c r="J34" s="164">
        <v>14043</v>
      </c>
      <c r="K34" s="205">
        <f t="shared" si="0"/>
        <v>0</v>
      </c>
    </row>
    <row r="35" spans="1:11">
      <c r="A35" s="147">
        <v>3010</v>
      </c>
      <c r="B35" s="148" t="s">
        <v>26</v>
      </c>
      <c r="C35" s="60">
        <f>ROUND(VLOOKUP(A35,'Contribution Allocation_Report'!$A$9:$D$311,4,FALSE)*$C$312,0)</f>
        <v>81266903</v>
      </c>
      <c r="D35" s="60">
        <f>ROUND(VLOOKUP(A35,'Contribution Allocation_Report'!$A$9:$D$311,4,FALSE)*$D$312,0)</f>
        <v>65304075</v>
      </c>
      <c r="E35" s="60">
        <f>ROUND(VLOOKUP(A35,'Contribution Allocation_Report'!$A$9:$D$311,4,FALSE)*$E$312,0)</f>
        <v>52576928</v>
      </c>
      <c r="J35" s="166">
        <v>3010</v>
      </c>
      <c r="K35" s="205">
        <f t="shared" si="0"/>
        <v>0</v>
      </c>
    </row>
    <row r="36" spans="1:11">
      <c r="A36" s="143">
        <v>29086</v>
      </c>
      <c r="B36" s="149" t="s">
        <v>27</v>
      </c>
      <c r="C36" s="61">
        <f>ROUND(VLOOKUP(A36,'Contribution Allocation_Report'!$A$9:$D$311,4,FALSE)*$C$312,0)</f>
        <v>12375333</v>
      </c>
      <c r="D36" s="61">
        <f>ROUND(VLOOKUP(A36,'Contribution Allocation_Report'!$A$9:$D$311,4,FALSE)*$D$312,0)</f>
        <v>9944512</v>
      </c>
      <c r="E36" s="61">
        <f>ROUND(VLOOKUP(A36,'Contribution Allocation_Report'!$A$9:$D$311,4,FALSE)*$E$312,0)</f>
        <v>8006420</v>
      </c>
      <c r="J36" s="164">
        <v>29086</v>
      </c>
      <c r="K36" s="205">
        <f t="shared" si="0"/>
        <v>0</v>
      </c>
    </row>
    <row r="37" spans="1:11">
      <c r="A37" s="147">
        <v>16051</v>
      </c>
      <c r="B37" s="148" t="s">
        <v>28</v>
      </c>
      <c r="C37" s="60">
        <f>ROUND(VLOOKUP(A37,'Contribution Allocation_Report'!$A$9:$D$311,4,FALSE)*$C$312,0)</f>
        <v>10533758</v>
      </c>
      <c r="D37" s="60">
        <f>ROUND(VLOOKUP(A37,'Contribution Allocation_Report'!$A$9:$D$311,4,FALSE)*$D$312,0)</f>
        <v>8464668</v>
      </c>
      <c r="E37" s="60">
        <f>ROUND(VLOOKUP(A37,'Contribution Allocation_Report'!$A$9:$D$311,4,FALSE)*$E$312,0)</f>
        <v>6814984</v>
      </c>
      <c r="J37" s="166">
        <v>16051</v>
      </c>
      <c r="K37" s="205">
        <f t="shared" si="0"/>
        <v>0</v>
      </c>
    </row>
    <row r="38" spans="1:11">
      <c r="A38" s="143">
        <v>26077</v>
      </c>
      <c r="B38" s="149" t="s">
        <v>29</v>
      </c>
      <c r="C38" s="61">
        <f>ROUND(VLOOKUP(A38,'Contribution Allocation_Report'!$A$9:$D$311,4,FALSE)*$C$312,0)</f>
        <v>2086238</v>
      </c>
      <c r="D38" s="61">
        <f>ROUND(VLOOKUP(A38,'Contribution Allocation_Report'!$A$9:$D$311,4,FALSE)*$D$312,0)</f>
        <v>1676450</v>
      </c>
      <c r="E38" s="61">
        <f>ROUND(VLOOKUP(A38,'Contribution Allocation_Report'!$A$9:$D$311,4,FALSE)*$E$312,0)</f>
        <v>1349725</v>
      </c>
      <c r="J38" s="164">
        <v>26077</v>
      </c>
      <c r="K38" s="205">
        <f t="shared" si="0"/>
        <v>0</v>
      </c>
    </row>
    <row r="39" spans="1:11">
      <c r="A39" s="147">
        <v>3005</v>
      </c>
      <c r="B39" s="148" t="s">
        <v>30</v>
      </c>
      <c r="C39" s="60">
        <f>ROUND(VLOOKUP(A39,'Contribution Allocation_Report'!$A$9:$D$311,4,FALSE)*$C$312,0)</f>
        <v>24417651</v>
      </c>
      <c r="D39" s="60">
        <f>ROUND(VLOOKUP(A39,'Contribution Allocation_Report'!$A$9:$D$311,4,FALSE)*$D$312,0)</f>
        <v>19621421</v>
      </c>
      <c r="E39" s="60">
        <f>ROUND(VLOOKUP(A39,'Contribution Allocation_Report'!$A$9:$D$311,4,FALSE)*$E$312,0)</f>
        <v>15797391</v>
      </c>
      <c r="J39" s="166">
        <v>3005</v>
      </c>
      <c r="K39" s="205">
        <f t="shared" si="0"/>
        <v>0</v>
      </c>
    </row>
    <row r="40" spans="1:11">
      <c r="A40" s="143">
        <v>26078</v>
      </c>
      <c r="B40" s="149" t="s">
        <v>31</v>
      </c>
      <c r="C40" s="61">
        <f>ROUND(VLOOKUP(A40,'Contribution Allocation_Report'!$A$9:$D$311,4,FALSE)*$C$312,0)</f>
        <v>846864</v>
      </c>
      <c r="D40" s="61">
        <f>ROUND(VLOOKUP(A40,'Contribution Allocation_Report'!$A$9:$D$311,4,FALSE)*$D$312,0)</f>
        <v>680519</v>
      </c>
      <c r="E40" s="61">
        <f>ROUND(VLOOKUP(A40,'Contribution Allocation_Report'!$A$9:$D$311,4,FALSE)*$E$312,0)</f>
        <v>547893</v>
      </c>
      <c r="J40" s="164">
        <v>26078</v>
      </c>
      <c r="K40" s="205">
        <f t="shared" si="0"/>
        <v>0</v>
      </c>
    </row>
    <row r="41" spans="1:11">
      <c r="A41" s="147">
        <v>16053</v>
      </c>
      <c r="B41" s="148" t="s">
        <v>32</v>
      </c>
      <c r="C41" s="60">
        <f>ROUND(VLOOKUP(A41,'Contribution Allocation_Report'!$A$9:$D$311,4,FALSE)*$C$312,0)</f>
        <v>26094446</v>
      </c>
      <c r="D41" s="60">
        <f>ROUND(VLOOKUP(A41,'Contribution Allocation_Report'!$A$9:$D$311,4,FALSE)*$D$312,0)</f>
        <v>20968852</v>
      </c>
      <c r="E41" s="60">
        <f>ROUND(VLOOKUP(A41,'Contribution Allocation_Report'!$A$9:$D$311,4,FALSE)*$E$312,0)</f>
        <v>16882221</v>
      </c>
      <c r="J41" s="166">
        <v>16053</v>
      </c>
      <c r="K41" s="205">
        <f t="shared" si="0"/>
        <v>0</v>
      </c>
    </row>
    <row r="42" spans="1:11">
      <c r="A42" s="143">
        <v>2123</v>
      </c>
      <c r="B42" s="149" t="s">
        <v>33</v>
      </c>
      <c r="C42" s="61">
        <f>ROUND(VLOOKUP(A42,'Contribution Allocation_Report'!$A$9:$D$311,4,FALSE)*$C$312,0)</f>
        <v>50245147</v>
      </c>
      <c r="D42" s="61">
        <f>ROUND(VLOOKUP(A42,'Contribution Allocation_Report'!$A$9:$D$311,4,FALSE)*$D$312,0)</f>
        <v>40375759</v>
      </c>
      <c r="E42" s="61">
        <f>ROUND(VLOOKUP(A42,'Contribution Allocation_Report'!$A$9:$D$311,4,FALSE)*$E$312,0)</f>
        <v>32506905</v>
      </c>
      <c r="J42" s="164">
        <v>2123</v>
      </c>
      <c r="K42" s="205">
        <f t="shared" si="0"/>
        <v>0</v>
      </c>
    </row>
    <row r="43" spans="1:11">
      <c r="A43" s="147">
        <v>2150</v>
      </c>
      <c r="B43" s="148" t="s">
        <v>34</v>
      </c>
      <c r="C43" s="60">
        <f>ROUND(VLOOKUP(A43,'Contribution Allocation_Report'!$A$9:$D$311,4,FALSE)*$C$312,0)</f>
        <v>2234113</v>
      </c>
      <c r="D43" s="60">
        <f>ROUND(VLOOKUP(A43,'Contribution Allocation_Report'!$A$9:$D$311,4,FALSE)*$D$312,0)</f>
        <v>1795278</v>
      </c>
      <c r="E43" s="60">
        <f>ROUND(VLOOKUP(A43,'Contribution Allocation_Report'!$A$9:$D$311,4,FALSE)*$E$312,0)</f>
        <v>1445395</v>
      </c>
      <c r="J43" s="166">
        <v>2150</v>
      </c>
      <c r="K43" s="205">
        <f t="shared" si="0"/>
        <v>0</v>
      </c>
    </row>
    <row r="44" spans="1:11">
      <c r="A44" s="143">
        <v>2336</v>
      </c>
      <c r="B44" s="149" t="s">
        <v>35</v>
      </c>
      <c r="C44" s="61">
        <f>ROUND(VLOOKUP(A44,'Contribution Allocation_Report'!$A$9:$D$311,4,FALSE)*$C$312,0)</f>
        <v>666114</v>
      </c>
      <c r="D44" s="61">
        <f>ROUND(VLOOKUP(A44,'Contribution Allocation_Report'!$A$9:$D$311,4,FALSE)*$D$312,0)</f>
        <v>535272</v>
      </c>
      <c r="E44" s="61">
        <f>ROUND(VLOOKUP(A44,'Contribution Allocation_Report'!$A$9:$D$311,4,FALSE)*$E$312,0)</f>
        <v>430953</v>
      </c>
      <c r="J44" s="164">
        <v>2336</v>
      </c>
      <c r="K44" s="205">
        <f t="shared" si="0"/>
        <v>0</v>
      </c>
    </row>
    <row r="45" spans="1:11">
      <c r="A45" s="147">
        <v>17126</v>
      </c>
      <c r="B45" s="148" t="s">
        <v>36</v>
      </c>
      <c r="C45" s="60">
        <f>ROUND(VLOOKUP(A45,'Contribution Allocation_Report'!$A$9:$D$311,4,FALSE)*$C$312,0)</f>
        <v>1960622</v>
      </c>
      <c r="D45" s="60">
        <f>ROUND(VLOOKUP(A45,'Contribution Allocation_Report'!$A$9:$D$311,4,FALSE)*$D$312,0)</f>
        <v>1575507</v>
      </c>
      <c r="E45" s="60">
        <f>ROUND(VLOOKUP(A45,'Contribution Allocation_Report'!$A$9:$D$311,4,FALSE)*$E$312,0)</f>
        <v>1268456</v>
      </c>
      <c r="J45" s="166">
        <v>17126</v>
      </c>
      <c r="K45" s="205">
        <f t="shared" si="0"/>
        <v>0</v>
      </c>
    </row>
    <row r="46" spans="1:11">
      <c r="A46" s="143">
        <v>3030</v>
      </c>
      <c r="B46" s="149" t="s">
        <v>37</v>
      </c>
      <c r="C46" s="61">
        <f>ROUND(VLOOKUP(A46,'Contribution Allocation_Report'!$A$9:$D$311,4,FALSE)*$C$312,0)</f>
        <v>5587391</v>
      </c>
      <c r="D46" s="61">
        <f>ROUND(VLOOKUP(A46,'Contribution Allocation_Report'!$A$9:$D$311,4,FALSE)*$D$312,0)</f>
        <v>4489889</v>
      </c>
      <c r="E46" s="61">
        <f>ROUND(VLOOKUP(A46,'Contribution Allocation_Report'!$A$9:$D$311,4,FALSE)*$E$312,0)</f>
        <v>3614852</v>
      </c>
      <c r="J46" s="164">
        <v>3030</v>
      </c>
      <c r="K46" s="205">
        <f t="shared" si="0"/>
        <v>0</v>
      </c>
    </row>
    <row r="47" spans="1:11">
      <c r="A47" s="147">
        <v>2353</v>
      </c>
      <c r="B47" s="148" t="s">
        <v>38</v>
      </c>
      <c r="C47" s="60">
        <f>ROUND(VLOOKUP(A47,'Contribution Allocation_Report'!$A$9:$D$311,4,FALSE)*$C$312,0)</f>
        <v>1827926</v>
      </c>
      <c r="D47" s="60">
        <f>ROUND(VLOOKUP(A47,'Contribution Allocation_Report'!$A$9:$D$311,4,FALSE)*$D$312,0)</f>
        <v>1468876</v>
      </c>
      <c r="E47" s="60">
        <f>ROUND(VLOOKUP(A47,'Contribution Allocation_Report'!$A$9:$D$311,4,FALSE)*$E$312,0)</f>
        <v>1182606</v>
      </c>
      <c r="J47" s="166">
        <v>2353</v>
      </c>
      <c r="K47" s="205">
        <f t="shared" si="0"/>
        <v>0</v>
      </c>
    </row>
    <row r="48" spans="1:11">
      <c r="A48" s="143">
        <v>3040</v>
      </c>
      <c r="B48" s="149" t="s">
        <v>39</v>
      </c>
      <c r="C48" s="61">
        <f>ROUND(VLOOKUP(A48,'Contribution Allocation_Report'!$A$9:$D$311,4,FALSE)*$C$312,0)</f>
        <v>2185463</v>
      </c>
      <c r="D48" s="61">
        <f>ROUND(VLOOKUP(A48,'Contribution Allocation_Report'!$A$9:$D$311,4,FALSE)*$D$312,0)</f>
        <v>1756184</v>
      </c>
      <c r="E48" s="61">
        <f>ROUND(VLOOKUP(A48,'Contribution Allocation_Report'!$A$9:$D$311,4,FALSE)*$E$312,0)</f>
        <v>1413920</v>
      </c>
      <c r="J48" s="164">
        <v>3040</v>
      </c>
      <c r="K48" s="205">
        <f t="shared" si="0"/>
        <v>0</v>
      </c>
    </row>
    <row r="49" spans="1:11">
      <c r="A49" s="147">
        <v>2367</v>
      </c>
      <c r="B49" s="148" t="s">
        <v>40</v>
      </c>
      <c r="C49" s="60">
        <f>ROUND(VLOOKUP(A49,'Contribution Allocation_Report'!$A$9:$D$311,4,FALSE)*$C$312,0)</f>
        <v>1551546</v>
      </c>
      <c r="D49" s="60">
        <f>ROUND(VLOOKUP(A49,'Contribution Allocation_Report'!$A$9:$D$311,4,FALSE)*$D$312,0)</f>
        <v>1246784</v>
      </c>
      <c r="E49" s="60">
        <f>ROUND(VLOOKUP(A49,'Contribution Allocation_Report'!$A$9:$D$311,4,FALSE)*$E$312,0)</f>
        <v>1003798</v>
      </c>
      <c r="J49" s="166">
        <v>2367</v>
      </c>
      <c r="K49" s="205">
        <f t="shared" si="0"/>
        <v>0</v>
      </c>
    </row>
    <row r="50" spans="1:11">
      <c r="A50" s="143">
        <v>9027</v>
      </c>
      <c r="B50" s="149" t="s">
        <v>41</v>
      </c>
      <c r="C50" s="61">
        <f>ROUND(VLOOKUP(A50,'Contribution Allocation_Report'!$A$9:$D$311,4,FALSE)*$C$312,0)</f>
        <v>2169350</v>
      </c>
      <c r="D50" s="61">
        <f>ROUND(VLOOKUP(A50,'Contribution Allocation_Report'!$A$9:$D$311,4,FALSE)*$D$312,0)</f>
        <v>1743236</v>
      </c>
      <c r="E50" s="61">
        <f>ROUND(VLOOKUP(A50,'Contribution Allocation_Report'!$A$9:$D$311,4,FALSE)*$E$312,0)</f>
        <v>1403496</v>
      </c>
      <c r="J50" s="164">
        <v>9027</v>
      </c>
      <c r="K50" s="205">
        <f t="shared" si="0"/>
        <v>0</v>
      </c>
    </row>
    <row r="51" spans="1:11">
      <c r="A51" s="147">
        <v>2010</v>
      </c>
      <c r="B51" s="148" t="s">
        <v>42</v>
      </c>
      <c r="C51" s="60">
        <f>ROUND(VLOOKUP(A51,'Contribution Allocation_Report'!$A$9:$D$311,4,FALSE)*$C$312,0)</f>
        <v>7845007</v>
      </c>
      <c r="D51" s="60">
        <f>ROUND(VLOOKUP(A51,'Contribution Allocation_Report'!$A$9:$D$311,4,FALSE)*$D$312,0)</f>
        <v>6304054</v>
      </c>
      <c r="E51" s="60">
        <f>ROUND(VLOOKUP(A51,'Contribution Allocation_Report'!$A$9:$D$311,4,FALSE)*$E$312,0)</f>
        <v>5075453</v>
      </c>
      <c r="J51" s="166">
        <v>2010</v>
      </c>
      <c r="K51" s="205">
        <f t="shared" si="0"/>
        <v>0</v>
      </c>
    </row>
    <row r="52" spans="1:11">
      <c r="A52" s="143">
        <v>2020</v>
      </c>
      <c r="B52" s="149" t="s">
        <v>43</v>
      </c>
      <c r="C52" s="61">
        <f>ROUND(VLOOKUP(A52,'Contribution Allocation_Report'!$A$9:$D$311,4,FALSE)*$C$312,0)</f>
        <v>196104932</v>
      </c>
      <c r="D52" s="61">
        <f>ROUND(VLOOKUP(A52,'Contribution Allocation_Report'!$A$9:$D$311,4,FALSE)*$D$312,0)</f>
        <v>157585078</v>
      </c>
      <c r="E52" s="61">
        <f>ROUND(VLOOKUP(A52,'Contribution Allocation_Report'!$A$9:$D$311,4,FALSE)*$E$312,0)</f>
        <v>126873235</v>
      </c>
      <c r="J52" s="164">
        <v>2020</v>
      </c>
      <c r="K52" s="205">
        <f t="shared" si="0"/>
        <v>0</v>
      </c>
    </row>
    <row r="53" spans="1:11">
      <c r="A53" s="147">
        <v>2040</v>
      </c>
      <c r="B53" s="148" t="s">
        <v>44</v>
      </c>
      <c r="C53" s="60">
        <f>ROUND(VLOOKUP(A53,'Contribution Allocation_Report'!$A$9:$D$311,4,FALSE)*$C$312,0)</f>
        <v>2703363</v>
      </c>
      <c r="D53" s="60">
        <f>ROUND(VLOOKUP(A53,'Contribution Allocation_Report'!$A$9:$D$311,4,FALSE)*$D$312,0)</f>
        <v>2172355</v>
      </c>
      <c r="E53" s="60">
        <f>ROUND(VLOOKUP(A53,'Contribution Allocation_Report'!$A$9:$D$311,4,FALSE)*$E$312,0)</f>
        <v>1748984</v>
      </c>
      <c r="J53" s="166">
        <v>2040</v>
      </c>
      <c r="K53" s="205">
        <f t="shared" si="0"/>
        <v>0</v>
      </c>
    </row>
    <row r="54" spans="1:11">
      <c r="A54" s="143">
        <v>2060</v>
      </c>
      <c r="B54" s="149" t="s">
        <v>45</v>
      </c>
      <c r="C54" s="61">
        <f>ROUND(VLOOKUP(A54,'Contribution Allocation_Report'!$A$9:$D$311,4,FALSE)*$C$312,0)</f>
        <v>2898640</v>
      </c>
      <c r="D54" s="61">
        <f>ROUND(VLOOKUP(A54,'Contribution Allocation_Report'!$A$9:$D$311,4,FALSE)*$D$312,0)</f>
        <v>2329276</v>
      </c>
      <c r="E54" s="61">
        <f>ROUND(VLOOKUP(A54,'Contribution Allocation_Report'!$A$9:$D$311,4,FALSE)*$E$312,0)</f>
        <v>1875322</v>
      </c>
      <c r="J54" s="164">
        <v>2060</v>
      </c>
      <c r="K54" s="205">
        <f t="shared" si="0"/>
        <v>0</v>
      </c>
    </row>
    <row r="55" spans="1:11">
      <c r="A55" s="147">
        <v>2090</v>
      </c>
      <c r="B55" s="148" t="s">
        <v>46</v>
      </c>
      <c r="C55" s="60">
        <f>ROUND(VLOOKUP(A55,'Contribution Allocation_Report'!$A$9:$D$311,4,FALSE)*$C$312,0)</f>
        <v>2162384</v>
      </c>
      <c r="D55" s="60">
        <f>ROUND(VLOOKUP(A55,'Contribution Allocation_Report'!$A$9:$D$311,4,FALSE)*$D$312,0)</f>
        <v>1737639</v>
      </c>
      <c r="E55" s="60">
        <f>ROUND(VLOOKUP(A55,'Contribution Allocation_Report'!$A$9:$D$311,4,FALSE)*$E$312,0)</f>
        <v>1398989</v>
      </c>
      <c r="J55" s="166">
        <v>2090</v>
      </c>
      <c r="K55" s="205">
        <f t="shared" si="0"/>
        <v>0</v>
      </c>
    </row>
    <row r="56" spans="1:11">
      <c r="A56" s="143">
        <v>2110</v>
      </c>
      <c r="B56" s="149" t="s">
        <v>47</v>
      </c>
      <c r="C56" s="61">
        <f>ROUND(VLOOKUP(A56,'Contribution Allocation_Report'!$A$9:$D$311,4,FALSE)*$C$312,0)</f>
        <v>17320567</v>
      </c>
      <c r="D56" s="61">
        <f>ROUND(VLOOKUP(A56,'Contribution Allocation_Report'!$A$9:$D$311,4,FALSE)*$D$312,0)</f>
        <v>13918380</v>
      </c>
      <c r="E56" s="61">
        <f>ROUND(VLOOKUP(A56,'Contribution Allocation_Report'!$A$9:$D$311,4,FALSE)*$E$312,0)</f>
        <v>11205819</v>
      </c>
      <c r="J56" s="164">
        <v>2110</v>
      </c>
      <c r="K56" s="205">
        <f t="shared" si="0"/>
        <v>0</v>
      </c>
    </row>
    <row r="57" spans="1:11">
      <c r="A57" s="147">
        <v>2180</v>
      </c>
      <c r="B57" s="148" t="s">
        <v>48</v>
      </c>
      <c r="C57" s="60">
        <f>ROUND(VLOOKUP(A57,'Contribution Allocation_Report'!$A$9:$D$311,4,FALSE)*$C$312,0)</f>
        <v>8263569</v>
      </c>
      <c r="D57" s="60">
        <f>ROUND(VLOOKUP(A57,'Contribution Allocation_Report'!$A$9:$D$311,4,FALSE)*$D$312,0)</f>
        <v>6640400</v>
      </c>
      <c r="E57" s="60">
        <f>ROUND(VLOOKUP(A57,'Contribution Allocation_Report'!$A$9:$D$311,4,FALSE)*$E$312,0)</f>
        <v>5346249</v>
      </c>
      <c r="J57" s="166">
        <v>2180</v>
      </c>
      <c r="K57" s="205">
        <f t="shared" si="0"/>
        <v>0</v>
      </c>
    </row>
    <row r="58" spans="1:11">
      <c r="A58" s="143">
        <v>2210</v>
      </c>
      <c r="B58" s="149" t="s">
        <v>49</v>
      </c>
      <c r="C58" s="61">
        <f>ROUND(VLOOKUP(A58,'Contribution Allocation_Report'!$A$9:$D$311,4,FALSE)*$C$312,0)</f>
        <v>3650216</v>
      </c>
      <c r="D58" s="61">
        <f>ROUND(VLOOKUP(A58,'Contribution Allocation_Report'!$A$9:$D$311,4,FALSE)*$D$312,0)</f>
        <v>2933224</v>
      </c>
      <c r="E58" s="61">
        <f>ROUND(VLOOKUP(A58,'Contribution Allocation_Report'!$A$9:$D$311,4,FALSE)*$E$312,0)</f>
        <v>2361566</v>
      </c>
      <c r="J58" s="164">
        <v>2210</v>
      </c>
      <c r="K58" s="205">
        <f t="shared" si="0"/>
        <v>0</v>
      </c>
    </row>
    <row r="59" spans="1:11">
      <c r="A59" s="147">
        <v>2290</v>
      </c>
      <c r="B59" s="148" t="s">
        <v>50</v>
      </c>
      <c r="C59" s="60">
        <f>ROUND(VLOOKUP(A59,'Contribution Allocation_Report'!$A$9:$D$311,4,FALSE)*$C$312,0)</f>
        <v>3797326</v>
      </c>
      <c r="D59" s="60">
        <f>ROUND(VLOOKUP(A59,'Contribution Allocation_Report'!$A$9:$D$311,4,FALSE)*$D$312,0)</f>
        <v>3051437</v>
      </c>
      <c r="E59" s="60">
        <f>ROUND(VLOOKUP(A59,'Contribution Allocation_Report'!$A$9:$D$311,4,FALSE)*$E$312,0)</f>
        <v>2456741</v>
      </c>
      <c r="J59" s="166">
        <v>2290</v>
      </c>
      <c r="K59" s="205">
        <f t="shared" si="0"/>
        <v>0</v>
      </c>
    </row>
    <row r="60" spans="1:11">
      <c r="A60" s="143">
        <v>2310</v>
      </c>
      <c r="B60" s="149" t="s">
        <v>51</v>
      </c>
      <c r="C60" s="61">
        <f>ROUND(VLOOKUP(A60,'Contribution Allocation_Report'!$A$9:$D$311,4,FALSE)*$C$312,0)</f>
        <v>26574315</v>
      </c>
      <c r="D60" s="61">
        <f>ROUND(VLOOKUP(A60,'Contribution Allocation_Report'!$A$9:$D$311,4,FALSE)*$D$312,0)</f>
        <v>21354463</v>
      </c>
      <c r="E60" s="61">
        <f>ROUND(VLOOKUP(A60,'Contribution Allocation_Report'!$A$9:$D$311,4,FALSE)*$E$312,0)</f>
        <v>17192680</v>
      </c>
      <c r="J60" s="164">
        <v>2310</v>
      </c>
      <c r="K60" s="205">
        <f t="shared" si="0"/>
        <v>0</v>
      </c>
    </row>
    <row r="61" spans="1:11">
      <c r="A61" s="147">
        <v>2330</v>
      </c>
      <c r="B61" s="148" t="s">
        <v>52</v>
      </c>
      <c r="C61" s="60">
        <f>ROUND(VLOOKUP(A61,'Contribution Allocation_Report'!$A$9:$D$311,4,FALSE)*$C$312,0)</f>
        <v>9468877</v>
      </c>
      <c r="D61" s="60">
        <f>ROUND(VLOOKUP(A61,'Contribution Allocation_Report'!$A$9:$D$311,4,FALSE)*$D$312,0)</f>
        <v>7608955</v>
      </c>
      <c r="E61" s="60">
        <f>ROUND(VLOOKUP(A61,'Contribution Allocation_Report'!$A$9:$D$311,4,FALSE)*$E$312,0)</f>
        <v>6126042</v>
      </c>
      <c r="J61" s="166">
        <v>2330</v>
      </c>
      <c r="K61" s="205">
        <f t="shared" si="0"/>
        <v>0</v>
      </c>
    </row>
    <row r="62" spans="1:11">
      <c r="A62" s="143">
        <v>2380</v>
      </c>
      <c r="B62" s="149" t="s">
        <v>53</v>
      </c>
      <c r="C62" s="61">
        <f>ROUND(VLOOKUP(A62,'Contribution Allocation_Report'!$A$9:$D$311,4,FALSE)*$C$312,0)</f>
        <v>1437993</v>
      </c>
      <c r="D62" s="61">
        <f>ROUND(VLOOKUP(A62,'Contribution Allocation_Report'!$A$9:$D$311,4,FALSE)*$D$312,0)</f>
        <v>1155536</v>
      </c>
      <c r="E62" s="61">
        <f>ROUND(VLOOKUP(A62,'Contribution Allocation_Report'!$A$9:$D$311,4,FALSE)*$E$312,0)</f>
        <v>930333</v>
      </c>
      <c r="J62" s="164">
        <v>2380</v>
      </c>
      <c r="K62" s="205">
        <f t="shared" si="0"/>
        <v>0</v>
      </c>
    </row>
    <row r="63" spans="1:11">
      <c r="A63" s="147">
        <v>2400</v>
      </c>
      <c r="B63" s="148" t="s">
        <v>54</v>
      </c>
      <c r="C63" s="60">
        <f>ROUND(VLOOKUP(A63,'Contribution Allocation_Report'!$A$9:$D$311,4,FALSE)*$C$312,0)</f>
        <v>45935642</v>
      </c>
      <c r="D63" s="60">
        <f>ROUND(VLOOKUP(A63,'Contribution Allocation_Report'!$A$9:$D$311,4,FALSE)*$D$312,0)</f>
        <v>36912747</v>
      </c>
      <c r="E63" s="60">
        <f>ROUND(VLOOKUP(A63,'Contribution Allocation_Report'!$A$9:$D$311,4,FALSE)*$E$312,0)</f>
        <v>29718801</v>
      </c>
      <c r="J63" s="166">
        <v>2400</v>
      </c>
      <c r="K63" s="205">
        <f t="shared" si="0"/>
        <v>0</v>
      </c>
    </row>
    <row r="64" spans="1:11">
      <c r="A64" s="143">
        <v>2410</v>
      </c>
      <c r="B64" s="149" t="s">
        <v>55</v>
      </c>
      <c r="C64" s="61">
        <f>ROUND(VLOOKUP(A64,'Contribution Allocation_Report'!$A$9:$D$311,4,FALSE)*$C$312,0)</f>
        <v>5609790</v>
      </c>
      <c r="D64" s="61">
        <f>ROUND(VLOOKUP(A64,'Contribution Allocation_Report'!$A$9:$D$311,4,FALSE)*$D$312,0)</f>
        <v>4507889</v>
      </c>
      <c r="E64" s="61">
        <f>ROUND(VLOOKUP(A64,'Contribution Allocation_Report'!$A$9:$D$311,4,FALSE)*$E$312,0)</f>
        <v>3629344</v>
      </c>
      <c r="J64" s="164">
        <v>2410</v>
      </c>
      <c r="K64" s="205">
        <f t="shared" si="0"/>
        <v>0</v>
      </c>
    </row>
    <row r="65" spans="1:11">
      <c r="A65" s="147">
        <v>2500</v>
      </c>
      <c r="B65" s="148" t="s">
        <v>56</v>
      </c>
      <c r="C65" s="60">
        <f>ROUND(VLOOKUP(A65,'Contribution Allocation_Report'!$A$9:$D$311,4,FALSE)*$C$312,0)</f>
        <v>898799</v>
      </c>
      <c r="D65" s="60">
        <f>ROUND(VLOOKUP(A65,'Contribution Allocation_Report'!$A$9:$D$311,4,FALSE)*$D$312,0)</f>
        <v>722253</v>
      </c>
      <c r="E65" s="60">
        <f>ROUND(VLOOKUP(A65,'Contribution Allocation_Report'!$A$9:$D$311,4,FALSE)*$E$312,0)</f>
        <v>581492</v>
      </c>
      <c r="J65" s="166">
        <v>2500</v>
      </c>
      <c r="K65" s="205">
        <f t="shared" si="0"/>
        <v>0</v>
      </c>
    </row>
    <row r="66" spans="1:11">
      <c r="A66" s="143">
        <v>2550</v>
      </c>
      <c r="B66" s="149" t="s">
        <v>57</v>
      </c>
      <c r="C66" s="61">
        <f>ROUND(VLOOKUP(A66,'Contribution Allocation_Report'!$A$9:$D$311,4,FALSE)*$C$312,0)</f>
        <v>3367466</v>
      </c>
      <c r="D66" s="61">
        <f>ROUND(VLOOKUP(A66,'Contribution Allocation_Report'!$A$9:$D$311,4,FALSE)*$D$312,0)</f>
        <v>2706012</v>
      </c>
      <c r="E66" s="61">
        <f>ROUND(VLOOKUP(A66,'Contribution Allocation_Report'!$A$9:$D$311,4,FALSE)*$E$312,0)</f>
        <v>2178636</v>
      </c>
      <c r="J66" s="164">
        <v>2550</v>
      </c>
      <c r="K66" s="205">
        <f t="shared" si="0"/>
        <v>0</v>
      </c>
    </row>
    <row r="67" spans="1:11">
      <c r="A67" s="147">
        <v>2570</v>
      </c>
      <c r="B67" s="148" t="s">
        <v>58</v>
      </c>
      <c r="C67" s="60">
        <f>ROUND(VLOOKUP(A67,'Contribution Allocation_Report'!$A$9:$D$311,4,FALSE)*$C$312,0)</f>
        <v>2087343</v>
      </c>
      <c r="D67" s="60">
        <f>ROUND(VLOOKUP(A67,'Contribution Allocation_Report'!$A$9:$D$311,4,FALSE)*$D$312,0)</f>
        <v>1677337</v>
      </c>
      <c r="E67" s="60">
        <f>ROUND(VLOOKUP(A67,'Contribution Allocation_Report'!$A$9:$D$311,4,FALSE)*$E$312,0)</f>
        <v>1350440</v>
      </c>
      <c r="J67" s="166">
        <v>2570</v>
      </c>
      <c r="K67" s="205">
        <f t="shared" si="0"/>
        <v>0</v>
      </c>
    </row>
    <row r="68" spans="1:11">
      <c r="A68" s="143">
        <v>2620</v>
      </c>
      <c r="B68" s="149" t="s">
        <v>59</v>
      </c>
      <c r="C68" s="61">
        <f>ROUND(VLOOKUP(A68,'Contribution Allocation_Report'!$A$9:$D$311,4,FALSE)*$C$312,0)</f>
        <v>19985814</v>
      </c>
      <c r="D68" s="61">
        <f>ROUND(VLOOKUP(A68,'Contribution Allocation_Report'!$A$9:$D$311,4,FALSE)*$D$312,0)</f>
        <v>16060106</v>
      </c>
      <c r="E68" s="61">
        <f>ROUND(VLOOKUP(A68,'Contribution Allocation_Report'!$A$9:$D$311,4,FALSE)*$E$312,0)</f>
        <v>12930143</v>
      </c>
      <c r="J68" s="164">
        <v>2620</v>
      </c>
      <c r="K68" s="205">
        <f t="shared" si="0"/>
        <v>0</v>
      </c>
    </row>
    <row r="69" spans="1:11">
      <c r="A69" s="147">
        <v>2630</v>
      </c>
      <c r="B69" s="148" t="s">
        <v>60</v>
      </c>
      <c r="C69" s="60">
        <f>ROUND(VLOOKUP(A69,'Contribution Allocation_Report'!$A$9:$D$311,4,FALSE)*$C$312,0)</f>
        <v>17103060</v>
      </c>
      <c r="D69" s="60">
        <f>ROUND(VLOOKUP(A69,'Contribution Allocation_Report'!$A$9:$D$311,4,FALSE)*$D$312,0)</f>
        <v>13743596</v>
      </c>
      <c r="E69" s="60">
        <f>ROUND(VLOOKUP(A69,'Contribution Allocation_Report'!$A$9:$D$311,4,FALSE)*$E$312,0)</f>
        <v>11065099</v>
      </c>
      <c r="J69" s="166">
        <v>2630</v>
      </c>
      <c r="K69" s="205">
        <f t="shared" si="0"/>
        <v>0</v>
      </c>
    </row>
    <row r="70" spans="1:11">
      <c r="A70" s="143">
        <v>2690</v>
      </c>
      <c r="B70" s="149" t="s">
        <v>61</v>
      </c>
      <c r="C70" s="61">
        <f>ROUND(VLOOKUP(A70,'Contribution Allocation_Report'!$A$9:$D$311,4,FALSE)*$C$312,0)</f>
        <v>38758504</v>
      </c>
      <c r="D70" s="61">
        <f>ROUND(VLOOKUP(A70,'Contribution Allocation_Report'!$A$9:$D$311,4,FALSE)*$D$312,0)</f>
        <v>31145376</v>
      </c>
      <c r="E70" s="61">
        <f>ROUND(VLOOKUP(A70,'Contribution Allocation_Report'!$A$9:$D$311,4,FALSE)*$E$312,0)</f>
        <v>25075437</v>
      </c>
      <c r="J70" s="164">
        <v>2690</v>
      </c>
      <c r="K70" s="205">
        <f t="shared" si="0"/>
        <v>0</v>
      </c>
    </row>
    <row r="71" spans="1:11">
      <c r="A71" s="147">
        <v>2710</v>
      </c>
      <c r="B71" s="148" t="s">
        <v>62</v>
      </c>
      <c r="C71" s="60">
        <f>ROUND(VLOOKUP(A71,'Contribution Allocation_Report'!$A$9:$D$311,4,FALSE)*$C$312,0)</f>
        <v>633039</v>
      </c>
      <c r="D71" s="60">
        <f>ROUND(VLOOKUP(A71,'Contribution Allocation_Report'!$A$9:$D$311,4,FALSE)*$D$312,0)</f>
        <v>508694</v>
      </c>
      <c r="E71" s="60">
        <f>ROUND(VLOOKUP(A71,'Contribution Allocation_Report'!$A$9:$D$311,4,FALSE)*$E$312,0)</f>
        <v>409555</v>
      </c>
      <c r="J71" s="166">
        <v>2710</v>
      </c>
      <c r="K71" s="205">
        <f t="shared" si="0"/>
        <v>0</v>
      </c>
    </row>
    <row r="72" spans="1:11">
      <c r="A72" s="143">
        <v>2730</v>
      </c>
      <c r="B72" s="149" t="s">
        <v>63</v>
      </c>
      <c r="C72" s="61">
        <f>ROUND(VLOOKUP(A72,'Contribution Allocation_Report'!$A$9:$D$311,4,FALSE)*$C$312,0)</f>
        <v>2923815</v>
      </c>
      <c r="D72" s="61">
        <f>ROUND(VLOOKUP(A72,'Contribution Allocation_Report'!$A$9:$D$311,4,FALSE)*$D$312,0)</f>
        <v>2349505</v>
      </c>
      <c r="E72" s="61">
        <f>ROUND(VLOOKUP(A72,'Contribution Allocation_Report'!$A$9:$D$311,4,FALSE)*$E$312,0)</f>
        <v>1891609</v>
      </c>
      <c r="J72" s="164">
        <v>2730</v>
      </c>
      <c r="K72" s="205">
        <f t="shared" si="0"/>
        <v>0</v>
      </c>
    </row>
    <row r="73" spans="1:11">
      <c r="A73" s="147">
        <v>2950</v>
      </c>
      <c r="B73" s="148" t="s">
        <v>64</v>
      </c>
      <c r="C73" s="60">
        <f>ROUND(VLOOKUP(A73,'Contribution Allocation_Report'!$A$9:$D$311,4,FALSE)*$C$312,0)</f>
        <v>2403905</v>
      </c>
      <c r="D73" s="60">
        <f>ROUND(VLOOKUP(A73,'Contribution Allocation_Report'!$A$9:$D$311,4,FALSE)*$D$312,0)</f>
        <v>1931718</v>
      </c>
      <c r="E73" s="60">
        <f>ROUND(VLOOKUP(A73,'Contribution Allocation_Report'!$A$9:$D$311,4,FALSE)*$E$312,0)</f>
        <v>1555245</v>
      </c>
      <c r="J73" s="166">
        <v>2950</v>
      </c>
      <c r="K73" s="205">
        <f t="shared" si="0"/>
        <v>0</v>
      </c>
    </row>
    <row r="74" spans="1:11">
      <c r="A74" s="143">
        <v>2760</v>
      </c>
      <c r="B74" s="149" t="s">
        <v>65</v>
      </c>
      <c r="C74" s="61">
        <f>ROUND(VLOOKUP(A74,'Contribution Allocation_Report'!$A$9:$D$311,4,FALSE)*$C$312,0)</f>
        <v>2148763</v>
      </c>
      <c r="D74" s="61">
        <f>ROUND(VLOOKUP(A74,'Contribution Allocation_Report'!$A$9:$D$311,4,FALSE)*$D$312,0)</f>
        <v>1726693</v>
      </c>
      <c r="E74" s="61">
        <f>ROUND(VLOOKUP(A74,'Contribution Allocation_Report'!$A$9:$D$311,4,FALSE)*$E$312,0)</f>
        <v>1390177</v>
      </c>
      <c r="J74" s="164">
        <v>2760</v>
      </c>
      <c r="K74" s="205">
        <f t="shared" ref="K74:K138" si="1">+A74-J74</f>
        <v>0</v>
      </c>
    </row>
    <row r="75" spans="1:11">
      <c r="A75" s="147">
        <v>2780</v>
      </c>
      <c r="B75" s="148" t="s">
        <v>66</v>
      </c>
      <c r="C75" s="60">
        <f>ROUND(VLOOKUP(A75,'Contribution Allocation_Report'!$A$9:$D$311,4,FALSE)*$C$312,0)</f>
        <v>170811</v>
      </c>
      <c r="D75" s="60">
        <f>ROUND(VLOOKUP(A75,'Contribution Allocation_Report'!$A$9:$D$311,4,FALSE)*$D$312,0)</f>
        <v>137260</v>
      </c>
      <c r="E75" s="60">
        <f>ROUND(VLOOKUP(A75,'Contribution Allocation_Report'!$A$9:$D$311,4,FALSE)*$E$312,0)</f>
        <v>110509</v>
      </c>
      <c r="J75" s="166">
        <v>2780</v>
      </c>
      <c r="K75" s="205">
        <f t="shared" si="1"/>
        <v>0</v>
      </c>
    </row>
    <row r="76" spans="1:11">
      <c r="A76" s="143">
        <v>2810</v>
      </c>
      <c r="B76" s="149" t="s">
        <v>67</v>
      </c>
      <c r="C76" s="61">
        <f>ROUND(VLOOKUP(A76,'Contribution Allocation_Report'!$A$9:$D$311,4,FALSE)*$C$312,0)</f>
        <v>1556615</v>
      </c>
      <c r="D76" s="61">
        <f>ROUND(VLOOKUP(A76,'Contribution Allocation_Report'!$A$9:$D$311,4,FALSE)*$D$312,0)</f>
        <v>1250858</v>
      </c>
      <c r="E76" s="61">
        <f>ROUND(VLOOKUP(A76,'Contribution Allocation_Report'!$A$9:$D$311,4,FALSE)*$E$312,0)</f>
        <v>1007077</v>
      </c>
      <c r="J76" s="164">
        <v>2810</v>
      </c>
      <c r="K76" s="205">
        <f t="shared" si="1"/>
        <v>0</v>
      </c>
    </row>
    <row r="77" spans="1:11">
      <c r="A77" s="147">
        <v>18056</v>
      </c>
      <c r="B77" s="148" t="s">
        <v>68</v>
      </c>
      <c r="C77" s="60">
        <f>ROUND(VLOOKUP(A77,'Contribution Allocation_Report'!$A$9:$D$311,4,FALSE)*$C$312,0)</f>
        <v>1925791</v>
      </c>
      <c r="D77" s="60">
        <f>ROUND(VLOOKUP(A77,'Contribution Allocation_Report'!$A$9:$D$311,4,FALSE)*$D$312,0)</f>
        <v>1547518</v>
      </c>
      <c r="E77" s="60">
        <f>ROUND(VLOOKUP(A77,'Contribution Allocation_Report'!$A$9:$D$311,4,FALSE)*$E$312,0)</f>
        <v>1245922</v>
      </c>
      <c r="J77" s="166">
        <v>18056</v>
      </c>
      <c r="K77" s="205">
        <f t="shared" si="1"/>
        <v>0</v>
      </c>
    </row>
    <row r="78" spans="1:11">
      <c r="A78" s="143">
        <v>15047</v>
      </c>
      <c r="B78" s="149" t="s">
        <v>69</v>
      </c>
      <c r="C78" s="61">
        <f>ROUND(VLOOKUP(A78,'Contribution Allocation_Report'!$A$9:$D$311,4,FALSE)*$C$312,0)</f>
        <v>1968211</v>
      </c>
      <c r="D78" s="61">
        <f>ROUND(VLOOKUP(A78,'Contribution Allocation_Report'!$A$9:$D$311,4,FALSE)*$D$312,0)</f>
        <v>1581606</v>
      </c>
      <c r="E78" s="61">
        <f>ROUND(VLOOKUP(A78,'Contribution Allocation_Report'!$A$9:$D$311,4,FALSE)*$E$312,0)</f>
        <v>1273366</v>
      </c>
      <c r="J78" s="164">
        <v>15047</v>
      </c>
      <c r="K78" s="205">
        <f t="shared" si="1"/>
        <v>0</v>
      </c>
    </row>
    <row r="79" spans="1:11">
      <c r="A79" s="143">
        <v>5012</v>
      </c>
      <c r="B79" s="144" t="s">
        <v>70</v>
      </c>
      <c r="C79" s="78">
        <f>ROUND(VLOOKUP(A79,'Contribution Allocation_Report'!$A$9:$D$311,4,FALSE)*$C$312,0)</f>
        <v>28657807</v>
      </c>
      <c r="D79" s="78">
        <f>ROUND(VLOOKUP(A79,'Contribution Allocation_Report'!$A$9:$D$311,4,FALSE)*$D$312,0)</f>
        <v>23028705</v>
      </c>
      <c r="E79" s="78">
        <f>ROUND(VLOOKUP(A79,'Contribution Allocation_Report'!$A$9:$D$311,4,FALSE)*$E$312,0)</f>
        <v>18540628</v>
      </c>
      <c r="J79" s="166">
        <v>5012</v>
      </c>
      <c r="K79" s="205">
        <f t="shared" si="1"/>
        <v>0</v>
      </c>
    </row>
    <row r="80" spans="1:11">
      <c r="A80" s="147">
        <v>8024</v>
      </c>
      <c r="B80" s="148" t="s">
        <v>71</v>
      </c>
      <c r="C80" s="60">
        <f>ROUND(VLOOKUP(A80,'Contribution Allocation_Report'!$A$9:$D$311,4,FALSE)*$C$312,0)</f>
        <v>5796120</v>
      </c>
      <c r="D80" s="60">
        <f>ROUND(VLOOKUP(A80,'Contribution Allocation_Report'!$A$9:$D$311,4,FALSE)*$D$312,0)</f>
        <v>4657619</v>
      </c>
      <c r="E80" s="60">
        <f>ROUND(VLOOKUP(A80,'Contribution Allocation_Report'!$A$9:$D$311,4,FALSE)*$E$312,0)</f>
        <v>3749893</v>
      </c>
      <c r="J80" s="164">
        <v>8024</v>
      </c>
      <c r="K80" s="205">
        <f t="shared" si="1"/>
        <v>0</v>
      </c>
    </row>
    <row r="81" spans="1:11">
      <c r="A81" s="143">
        <v>3050</v>
      </c>
      <c r="B81" s="149" t="s">
        <v>72</v>
      </c>
      <c r="C81" s="61">
        <f>ROUND(VLOOKUP(A81,'Contribution Allocation_Report'!$A$9:$D$311,4,FALSE)*$C$312,0)</f>
        <v>1945982</v>
      </c>
      <c r="D81" s="61">
        <f>ROUND(VLOOKUP(A81,'Contribution Allocation_Report'!$A$9:$D$311,4,FALSE)*$D$312,0)</f>
        <v>1563743</v>
      </c>
      <c r="E81" s="61">
        <f>ROUND(VLOOKUP(A81,'Contribution Allocation_Report'!$A$9:$D$311,4,FALSE)*$E$312,0)</f>
        <v>1258984</v>
      </c>
      <c r="J81" s="166">
        <v>3050</v>
      </c>
      <c r="K81" s="205">
        <f t="shared" si="1"/>
        <v>0</v>
      </c>
    </row>
    <row r="82" spans="1:11">
      <c r="A82" s="147">
        <v>2421</v>
      </c>
      <c r="B82" s="148" t="s">
        <v>73</v>
      </c>
      <c r="C82" s="60">
        <f>ROUND(VLOOKUP(A82,'Contribution Allocation_Report'!$A$9:$D$311,4,FALSE)*$C$312,0)</f>
        <v>871274</v>
      </c>
      <c r="D82" s="60">
        <f>ROUND(VLOOKUP(A82,'Contribution Allocation_Report'!$A$9:$D$311,4,FALSE)*$D$312,0)</f>
        <v>700134</v>
      </c>
      <c r="E82" s="60">
        <f>ROUND(VLOOKUP(A82,'Contribution Allocation_Report'!$A$9:$D$311,4,FALSE)*$E$312,0)</f>
        <v>563685</v>
      </c>
      <c r="J82" s="164">
        <v>2421</v>
      </c>
      <c r="K82" s="205">
        <f t="shared" si="1"/>
        <v>0</v>
      </c>
    </row>
    <row r="83" spans="1:11">
      <c r="A83" s="143">
        <v>26079</v>
      </c>
      <c r="B83" s="149" t="s">
        <v>74</v>
      </c>
      <c r="C83" s="61">
        <f>ROUND(VLOOKUP(A83,'Contribution Allocation_Report'!$A$9:$D$311,4,FALSE)*$C$312,0)</f>
        <v>643290</v>
      </c>
      <c r="D83" s="61">
        <f>ROUND(VLOOKUP(A83,'Contribution Allocation_Report'!$A$9:$D$311,4,FALSE)*$D$312,0)</f>
        <v>516932</v>
      </c>
      <c r="E83" s="61">
        <f>ROUND(VLOOKUP(A83,'Contribution Allocation_Report'!$A$9:$D$311,4,FALSE)*$E$312,0)</f>
        <v>416187</v>
      </c>
      <c r="J83" s="166">
        <v>26079</v>
      </c>
      <c r="K83" s="205">
        <f t="shared" si="1"/>
        <v>0</v>
      </c>
    </row>
    <row r="84" spans="1:11">
      <c r="A84" s="147">
        <v>2363</v>
      </c>
      <c r="B84" s="148" t="s">
        <v>75</v>
      </c>
      <c r="C84" s="60">
        <f>ROUND(VLOOKUP(A84,'Contribution Allocation_Report'!$A$9:$D$311,4,FALSE)*$C$312,0)</f>
        <v>838001</v>
      </c>
      <c r="D84" s="60">
        <f>ROUND(VLOOKUP(A84,'Contribution Allocation_Report'!$A$9:$D$311,4,FALSE)*$D$312,0)</f>
        <v>673397</v>
      </c>
      <c r="E84" s="60">
        <f>ROUND(VLOOKUP(A84,'Contribution Allocation_Report'!$A$9:$D$311,4,FALSE)*$E$312,0)</f>
        <v>542158</v>
      </c>
      <c r="J84" s="164">
        <v>2363</v>
      </c>
      <c r="K84" s="205">
        <f t="shared" si="1"/>
        <v>0</v>
      </c>
    </row>
    <row r="85" spans="1:11">
      <c r="A85" s="143">
        <v>2364</v>
      </c>
      <c r="B85" s="149" t="s">
        <v>76</v>
      </c>
      <c r="C85" s="61">
        <f>ROUND(VLOOKUP(A85,'Contribution Allocation_Report'!$A$9:$D$311,4,FALSE)*$C$312,0)</f>
        <v>2606941</v>
      </c>
      <c r="D85" s="61">
        <f>ROUND(VLOOKUP(A85,'Contribution Allocation_Report'!$A$9:$D$311,4,FALSE)*$D$312,0)</f>
        <v>2094874</v>
      </c>
      <c r="E85" s="61">
        <f>ROUND(VLOOKUP(A85,'Contribution Allocation_Report'!$A$9:$D$311,4,FALSE)*$E$312,0)</f>
        <v>1686603</v>
      </c>
      <c r="J85" s="166">
        <v>2364</v>
      </c>
      <c r="K85" s="205">
        <f t="shared" si="1"/>
        <v>0</v>
      </c>
    </row>
    <row r="86" spans="1:11">
      <c r="A86" s="147">
        <v>25319</v>
      </c>
      <c r="B86" s="148" t="s">
        <v>77</v>
      </c>
      <c r="C86" s="60">
        <f>ROUND(VLOOKUP(A86,'Contribution Allocation_Report'!$A$9:$D$311,4,FALSE)*$C$312,0)</f>
        <v>673108</v>
      </c>
      <c r="D86" s="60">
        <f>ROUND(VLOOKUP(A86,'Contribution Allocation_Report'!$A$9:$D$311,4,FALSE)*$D$312,0)</f>
        <v>540893</v>
      </c>
      <c r="E86" s="60">
        <f>ROUND(VLOOKUP(A86,'Contribution Allocation_Report'!$A$9:$D$311,4,FALSE)*$E$312,0)</f>
        <v>435478</v>
      </c>
      <c r="J86" s="164">
        <v>25319</v>
      </c>
      <c r="K86" s="205">
        <f t="shared" si="1"/>
        <v>0</v>
      </c>
    </row>
    <row r="87" spans="1:11">
      <c r="A87" s="143">
        <v>29087</v>
      </c>
      <c r="B87" s="149" t="s">
        <v>78</v>
      </c>
      <c r="C87" s="61">
        <f>ROUND(VLOOKUP(A87,'Contribution Allocation_Report'!$A$9:$D$311,4,FALSE)*$C$312,0)</f>
        <v>4275184</v>
      </c>
      <c r="D87" s="61">
        <f>ROUND(VLOOKUP(A87,'Contribution Allocation_Report'!$A$9:$D$311,4,FALSE)*$D$312,0)</f>
        <v>3435433</v>
      </c>
      <c r="E87" s="61">
        <f>ROUND(VLOOKUP(A87,'Contribution Allocation_Report'!$A$9:$D$311,4,FALSE)*$E$312,0)</f>
        <v>2765899</v>
      </c>
      <c r="J87" s="166">
        <v>29087</v>
      </c>
      <c r="K87" s="205">
        <f t="shared" si="1"/>
        <v>0</v>
      </c>
    </row>
    <row r="88" spans="1:11">
      <c r="A88" s="147">
        <v>3060</v>
      </c>
      <c r="B88" s="148" t="s">
        <v>79</v>
      </c>
      <c r="C88" s="60">
        <f>ROUND(VLOOKUP(A88,'Contribution Allocation_Report'!$A$9:$D$311,4,FALSE)*$C$312,0)</f>
        <v>3287525</v>
      </c>
      <c r="D88" s="60">
        <f>ROUND(VLOOKUP(A88,'Contribution Allocation_Report'!$A$9:$D$311,4,FALSE)*$D$312,0)</f>
        <v>2641774</v>
      </c>
      <c r="E88" s="60">
        <f>ROUND(VLOOKUP(A88,'Contribution Allocation_Report'!$A$9:$D$311,4,FALSE)*$E$312,0)</f>
        <v>2126917</v>
      </c>
      <c r="J88" s="164">
        <v>3060</v>
      </c>
      <c r="K88" s="205">
        <f t="shared" si="1"/>
        <v>0</v>
      </c>
    </row>
    <row r="89" spans="1:11">
      <c r="A89" s="143">
        <v>19301</v>
      </c>
      <c r="B89" s="149" t="s">
        <v>80</v>
      </c>
      <c r="C89" s="61">
        <f>ROUND(VLOOKUP(A89,'Contribution Allocation_Report'!$A$9:$D$311,4,FALSE)*$C$312,0)</f>
        <v>593762</v>
      </c>
      <c r="D89" s="61">
        <f>ROUND(VLOOKUP(A89,'Contribution Allocation_Report'!$A$9:$D$311,4,FALSE)*$D$312,0)</f>
        <v>477133</v>
      </c>
      <c r="E89" s="61">
        <f>ROUND(VLOOKUP(A89,'Contribution Allocation_Report'!$A$9:$D$311,4,FALSE)*$E$312,0)</f>
        <v>384144</v>
      </c>
      <c r="J89" s="166">
        <v>19301</v>
      </c>
      <c r="K89" s="205">
        <f t="shared" si="1"/>
        <v>0</v>
      </c>
    </row>
    <row r="90" spans="1:11">
      <c r="A90" s="147">
        <v>19059</v>
      </c>
      <c r="B90" s="148" t="s">
        <v>81</v>
      </c>
      <c r="C90" s="60">
        <f>ROUND(VLOOKUP(A90,'Contribution Allocation_Report'!$A$9:$D$311,4,FALSE)*$C$312,0)</f>
        <v>21902175</v>
      </c>
      <c r="D90" s="60">
        <f>ROUND(VLOOKUP(A90,'Contribution Allocation_Report'!$A$9:$D$311,4,FALSE)*$D$312,0)</f>
        <v>17600047</v>
      </c>
      <c r="E90" s="60">
        <f>ROUND(VLOOKUP(A90,'Contribution Allocation_Report'!$A$9:$D$311,4,FALSE)*$E$312,0)</f>
        <v>14169964</v>
      </c>
      <c r="J90" s="164">
        <v>19059</v>
      </c>
      <c r="K90" s="205">
        <f t="shared" si="1"/>
        <v>0</v>
      </c>
    </row>
    <row r="91" spans="1:11">
      <c r="A91" s="143">
        <v>18057</v>
      </c>
      <c r="B91" s="149" t="s">
        <v>82</v>
      </c>
      <c r="C91" s="61">
        <f>ROUND(VLOOKUP(A91,'Contribution Allocation_Report'!$A$9:$D$311,4,FALSE)*$C$312,0)</f>
        <v>769586</v>
      </c>
      <c r="D91" s="61">
        <f>ROUND(VLOOKUP(A91,'Contribution Allocation_Report'!$A$9:$D$311,4,FALSE)*$D$312,0)</f>
        <v>618420</v>
      </c>
      <c r="E91" s="61">
        <f>ROUND(VLOOKUP(A91,'Contribution Allocation_Report'!$A$9:$D$311,4,FALSE)*$E$312,0)</f>
        <v>497896</v>
      </c>
      <c r="J91" s="166">
        <v>18057</v>
      </c>
      <c r="K91" s="205">
        <f t="shared" si="1"/>
        <v>0</v>
      </c>
    </row>
    <row r="92" spans="1:11">
      <c r="A92" s="147">
        <v>4008</v>
      </c>
      <c r="B92" s="148" t="s">
        <v>83</v>
      </c>
      <c r="C92" s="60">
        <f>ROUND(VLOOKUP(A92,'Contribution Allocation_Report'!$A$9:$D$311,4,FALSE)*$C$312,0)</f>
        <v>3236129</v>
      </c>
      <c r="D92" s="60">
        <f>ROUND(VLOOKUP(A92,'Contribution Allocation_Report'!$A$9:$D$311,4,FALSE)*$D$312,0)</f>
        <v>2600473</v>
      </c>
      <c r="E92" s="60">
        <f>ROUND(VLOOKUP(A92,'Contribution Allocation_Report'!$A$9:$D$311,4,FALSE)*$E$312,0)</f>
        <v>2093666</v>
      </c>
      <c r="J92" s="164">
        <v>4008</v>
      </c>
      <c r="K92" s="205">
        <f t="shared" si="1"/>
        <v>0</v>
      </c>
    </row>
    <row r="93" spans="1:11">
      <c r="A93" s="143">
        <v>2350</v>
      </c>
      <c r="B93" s="149" t="s">
        <v>84</v>
      </c>
      <c r="C93" s="61">
        <f>ROUND(VLOOKUP(A93,'Contribution Allocation_Report'!$A$9:$D$311,4,FALSE)*$C$312,0)</f>
        <v>1152269</v>
      </c>
      <c r="D93" s="61">
        <f>ROUND(VLOOKUP(A93,'Contribution Allocation_Report'!$A$9:$D$311,4,FALSE)*$D$312,0)</f>
        <v>925935</v>
      </c>
      <c r="E93" s="61">
        <f>ROUND(VLOOKUP(A93,'Contribution Allocation_Report'!$A$9:$D$311,4,FALSE)*$E$312,0)</f>
        <v>745479</v>
      </c>
      <c r="J93" s="166">
        <v>2350</v>
      </c>
      <c r="K93" s="205">
        <f t="shared" si="1"/>
        <v>0</v>
      </c>
    </row>
    <row r="94" spans="1:11">
      <c r="A94" s="147">
        <v>11117</v>
      </c>
      <c r="B94" s="148" t="s">
        <v>85</v>
      </c>
      <c r="C94" s="60">
        <f>ROUND(VLOOKUP(A94,'Contribution Allocation_Report'!$A$9:$D$311,4,FALSE)*$C$312,0)</f>
        <v>1153855</v>
      </c>
      <c r="D94" s="60">
        <f>ROUND(VLOOKUP(A94,'Contribution Allocation_Report'!$A$9:$D$311,4,FALSE)*$D$312,0)</f>
        <v>927209</v>
      </c>
      <c r="E94" s="60">
        <f>ROUND(VLOOKUP(A94,'Contribution Allocation_Report'!$A$9:$D$311,4,FALSE)*$E$312,0)</f>
        <v>746505</v>
      </c>
      <c r="J94" s="164">
        <v>11117</v>
      </c>
      <c r="K94" s="205">
        <f t="shared" si="1"/>
        <v>0</v>
      </c>
    </row>
    <row r="95" spans="1:11">
      <c r="A95" s="143">
        <v>16359</v>
      </c>
      <c r="B95" s="149" t="s">
        <v>86</v>
      </c>
      <c r="C95" s="61">
        <f>ROUND(VLOOKUP(A95,'Contribution Allocation_Report'!$A$9:$D$311,4,FALSE)*$C$312,0)</f>
        <v>221358</v>
      </c>
      <c r="D95" s="61">
        <f>ROUND(VLOOKUP(A95,'Contribution Allocation_Report'!$A$9:$D$311,4,FALSE)*$D$312,0)</f>
        <v>177878</v>
      </c>
      <c r="E95" s="61">
        <f>ROUND(VLOOKUP(A95,'Contribution Allocation_Report'!$A$9:$D$311,4,FALSE)*$E$312,0)</f>
        <v>143211</v>
      </c>
      <c r="J95" s="166">
        <v>16359</v>
      </c>
      <c r="K95" s="205">
        <f t="shared" si="1"/>
        <v>0</v>
      </c>
    </row>
    <row r="96" spans="1:11">
      <c r="A96" s="147">
        <v>17115</v>
      </c>
      <c r="B96" s="148" t="s">
        <v>87</v>
      </c>
      <c r="C96" s="60">
        <f>ROUND(VLOOKUP(A96,'Contribution Allocation_Report'!$A$9:$D$311,4,FALSE)*$C$312,0)</f>
        <v>3759607</v>
      </c>
      <c r="D96" s="60">
        <f>ROUND(VLOOKUP(A96,'Contribution Allocation_Report'!$A$9:$D$311,4,FALSE)*$D$312,0)</f>
        <v>3021127</v>
      </c>
      <c r="E96" s="60">
        <f>ROUND(VLOOKUP(A96,'Contribution Allocation_Report'!$A$9:$D$311,4,FALSE)*$E$312,0)</f>
        <v>2432338</v>
      </c>
      <c r="J96" s="164">
        <v>17115</v>
      </c>
      <c r="K96" s="205">
        <f t="shared" si="1"/>
        <v>0</v>
      </c>
    </row>
    <row r="97" spans="1:11">
      <c r="A97" s="143">
        <v>32117</v>
      </c>
      <c r="B97" s="149" t="s">
        <v>88</v>
      </c>
      <c r="C97" s="61">
        <f>ROUND(VLOOKUP(A97,'Contribution Allocation_Report'!$A$9:$D$311,4,FALSE)*$C$312,0)</f>
        <v>236083</v>
      </c>
      <c r="D97" s="61">
        <f>ROUND(VLOOKUP(A97,'Contribution Allocation_Report'!$A$9:$D$311,4,FALSE)*$D$312,0)</f>
        <v>189711</v>
      </c>
      <c r="E97" s="61">
        <f>ROUND(VLOOKUP(A97,'Contribution Allocation_Report'!$A$9:$D$311,4,FALSE)*$E$312,0)</f>
        <v>152738</v>
      </c>
      <c r="J97" s="166">
        <v>32117</v>
      </c>
      <c r="K97" s="205">
        <f t="shared" si="1"/>
        <v>0</v>
      </c>
    </row>
    <row r="98" spans="1:11">
      <c r="A98" s="147">
        <v>2304</v>
      </c>
      <c r="B98" s="148" t="s">
        <v>89</v>
      </c>
      <c r="C98" s="60">
        <f>ROUND(VLOOKUP(A98,'Contribution Allocation_Report'!$A$9:$D$311,4,FALSE)*$C$312,0)</f>
        <v>1663571</v>
      </c>
      <c r="D98" s="60">
        <f>ROUND(VLOOKUP(A98,'Contribution Allocation_Report'!$A$9:$D$311,4,FALSE)*$D$312,0)</f>
        <v>1336804</v>
      </c>
      <c r="E98" s="60">
        <f>ROUND(VLOOKUP(A98,'Contribution Allocation_Report'!$A$9:$D$311,4,FALSE)*$E$312,0)</f>
        <v>1076274</v>
      </c>
      <c r="J98" s="164">
        <v>2304</v>
      </c>
      <c r="K98" s="205">
        <f t="shared" si="1"/>
        <v>0</v>
      </c>
    </row>
    <row r="99" spans="1:11">
      <c r="A99" s="143">
        <v>11101</v>
      </c>
      <c r="B99" s="149" t="s">
        <v>91</v>
      </c>
      <c r="C99" s="61">
        <f>ROUND(VLOOKUP(A99,'Contribution Allocation_Report'!$A$9:$D$311,4,FALSE)*$C$312,0)</f>
        <v>19602366</v>
      </c>
      <c r="D99" s="61">
        <f>ROUND(VLOOKUP(A99,'Contribution Allocation_Report'!$A$9:$D$311,4,FALSE)*$D$312,0)</f>
        <v>15751977</v>
      </c>
      <c r="E99" s="61">
        <f>ROUND(VLOOKUP(A99,'Contribution Allocation_Report'!$A$9:$D$311,4,FALSE)*$E$312,0)</f>
        <v>12682066</v>
      </c>
      <c r="J99" s="166">
        <v>11101</v>
      </c>
      <c r="K99" s="205">
        <f t="shared" si="1"/>
        <v>0</v>
      </c>
    </row>
    <row r="100" spans="1:11">
      <c r="A100" s="147">
        <v>11102</v>
      </c>
      <c r="B100" s="148" t="s">
        <v>90</v>
      </c>
      <c r="C100" s="60">
        <f>ROUND(VLOOKUP(A100,'Contribution Allocation_Report'!$A$9:$D$311,4,FALSE)*$C$312,0)</f>
        <v>5965940</v>
      </c>
      <c r="D100" s="60">
        <f>ROUND(VLOOKUP(A100,'Contribution Allocation_Report'!$A$9:$D$311,4,FALSE)*$D$312,0)</f>
        <v>4794082</v>
      </c>
      <c r="E100" s="60">
        <f>ROUND(VLOOKUP(A100,'Contribution Allocation_Report'!$A$9:$D$311,4,FALSE)*$E$312,0)</f>
        <v>3859761</v>
      </c>
      <c r="J100" s="164">
        <v>11102</v>
      </c>
      <c r="K100" s="205">
        <f t="shared" si="1"/>
        <v>0</v>
      </c>
    </row>
    <row r="101" spans="1:11">
      <c r="A101" s="143">
        <v>3100</v>
      </c>
      <c r="B101" s="149" t="s">
        <v>92</v>
      </c>
      <c r="C101" s="61">
        <f>ROUND(VLOOKUP(A101,'Contribution Allocation_Report'!$A$9:$D$311,4,FALSE)*$C$312,0)</f>
        <v>12538810</v>
      </c>
      <c r="D101" s="61">
        <f>ROUND(VLOOKUP(A101,'Contribution Allocation_Report'!$A$9:$D$311,4,FALSE)*$D$312,0)</f>
        <v>10075878</v>
      </c>
      <c r="E101" s="61">
        <f>ROUND(VLOOKUP(A101,'Contribution Allocation_Report'!$A$9:$D$311,4,FALSE)*$E$312,0)</f>
        <v>8112184</v>
      </c>
      <c r="J101" s="166">
        <v>3100</v>
      </c>
      <c r="K101" s="205">
        <f t="shared" si="1"/>
        <v>0</v>
      </c>
    </row>
    <row r="102" spans="1:11">
      <c r="A102" s="147">
        <v>2323</v>
      </c>
      <c r="B102" s="148" t="s">
        <v>93</v>
      </c>
      <c r="C102" s="60">
        <f>ROUND(VLOOKUP(A102,'Contribution Allocation_Report'!$A$9:$D$311,4,FALSE)*$C$312,0)</f>
        <v>1278764</v>
      </c>
      <c r="D102" s="60">
        <f>ROUND(VLOOKUP(A102,'Contribution Allocation_Report'!$A$9:$D$311,4,FALSE)*$D$312,0)</f>
        <v>1027583</v>
      </c>
      <c r="E102" s="60">
        <f>ROUND(VLOOKUP(A102,'Contribution Allocation_Report'!$A$9:$D$311,4,FALSE)*$E$312,0)</f>
        <v>827317</v>
      </c>
      <c r="J102" s="164">
        <v>2323</v>
      </c>
      <c r="K102" s="205">
        <f t="shared" si="1"/>
        <v>0</v>
      </c>
    </row>
    <row r="103" spans="1:11">
      <c r="A103" s="143">
        <v>11034</v>
      </c>
      <c r="B103" s="149" t="s">
        <v>94</v>
      </c>
      <c r="C103" s="61">
        <f>ROUND(VLOOKUP(A103,'Contribution Allocation_Report'!$A$9:$D$311,4,FALSE)*$C$312,0)</f>
        <v>858475</v>
      </c>
      <c r="D103" s="61">
        <f>ROUND(VLOOKUP(A103,'Contribution Allocation_Report'!$A$9:$D$311,4,FALSE)*$D$312,0)</f>
        <v>689849</v>
      </c>
      <c r="E103" s="61">
        <f>ROUND(VLOOKUP(A103,'Contribution Allocation_Report'!$A$9:$D$311,4,FALSE)*$E$312,0)</f>
        <v>555404</v>
      </c>
      <c r="J103" s="166">
        <v>11034</v>
      </c>
      <c r="K103" s="205">
        <f t="shared" si="1"/>
        <v>0</v>
      </c>
    </row>
    <row r="104" spans="1:11">
      <c r="A104" s="147">
        <v>17054</v>
      </c>
      <c r="B104" s="148" t="s">
        <v>95</v>
      </c>
      <c r="C104" s="60">
        <f>ROUND(VLOOKUP(A104,'Contribution Allocation_Report'!$A$9:$D$311,4,FALSE)*$C$312,0)</f>
        <v>13442281</v>
      </c>
      <c r="D104" s="60">
        <f>ROUND(VLOOKUP(A104,'Contribution Allocation_Report'!$A$9:$D$311,4,FALSE)*$D$312,0)</f>
        <v>10801885</v>
      </c>
      <c r="E104" s="60">
        <f>ROUND(VLOOKUP(A104,'Contribution Allocation_Report'!$A$9:$D$311,4,FALSE)*$E$312,0)</f>
        <v>8696700</v>
      </c>
      <c r="J104" s="164">
        <v>17054</v>
      </c>
      <c r="K104" s="205">
        <f t="shared" si="1"/>
        <v>0</v>
      </c>
    </row>
    <row r="105" spans="1:11">
      <c r="A105" s="143">
        <v>22065</v>
      </c>
      <c r="B105" s="149" t="s">
        <v>96</v>
      </c>
      <c r="C105" s="61">
        <f>ROUND(VLOOKUP(A105,'Contribution Allocation_Report'!$A$9:$D$311,4,FALSE)*$C$312,0)</f>
        <v>3008088</v>
      </c>
      <c r="D105" s="61">
        <f>ROUND(VLOOKUP(A105,'Contribution Allocation_Report'!$A$9:$D$311,4,FALSE)*$D$312,0)</f>
        <v>2417225</v>
      </c>
      <c r="E105" s="61">
        <f>ROUND(VLOOKUP(A105,'Contribution Allocation_Report'!$A$9:$D$311,4,FALSE)*$E$312,0)</f>
        <v>1946131</v>
      </c>
      <c r="J105" s="166">
        <v>22065</v>
      </c>
      <c r="K105" s="205">
        <f t="shared" si="1"/>
        <v>0</v>
      </c>
    </row>
    <row r="106" spans="1:11">
      <c r="A106" s="147">
        <v>22201</v>
      </c>
      <c r="B106" s="148" t="s">
        <v>97</v>
      </c>
      <c r="C106" s="60">
        <f>ROUND(VLOOKUP(A106,'Contribution Allocation_Report'!$A$9:$D$311,4,FALSE)*$C$312,0)</f>
        <v>1543136</v>
      </c>
      <c r="D106" s="60">
        <f>ROUND(VLOOKUP(A106,'Contribution Allocation_Report'!$A$9:$D$311,4,FALSE)*$D$312,0)</f>
        <v>1240026</v>
      </c>
      <c r="E106" s="60">
        <f>ROUND(VLOOKUP(A106,'Contribution Allocation_Report'!$A$9:$D$311,4,FALSE)*$E$312,0)</f>
        <v>998357</v>
      </c>
      <c r="J106" s="164">
        <v>22201</v>
      </c>
      <c r="K106" s="205">
        <f t="shared" si="1"/>
        <v>0</v>
      </c>
    </row>
    <row r="107" spans="1:11">
      <c r="A107" s="143">
        <v>6016</v>
      </c>
      <c r="B107" s="149" t="s">
        <v>98</v>
      </c>
      <c r="C107" s="61">
        <f>ROUND(VLOOKUP(A107,'Contribution Allocation_Report'!$A$9:$D$311,4,FALSE)*$C$312,0)</f>
        <v>3142964</v>
      </c>
      <c r="D107" s="61">
        <f>ROUND(VLOOKUP(A107,'Contribution Allocation_Report'!$A$9:$D$311,4,FALSE)*$D$312,0)</f>
        <v>2525608</v>
      </c>
      <c r="E107" s="61">
        <f>ROUND(VLOOKUP(A107,'Contribution Allocation_Report'!$A$9:$D$311,4,FALSE)*$E$312,0)</f>
        <v>2033391</v>
      </c>
      <c r="J107" s="166">
        <v>6016</v>
      </c>
      <c r="K107" s="205">
        <f t="shared" si="1"/>
        <v>0</v>
      </c>
    </row>
    <row r="108" spans="1:11">
      <c r="A108" s="147">
        <v>2432</v>
      </c>
      <c r="B108" s="148" t="s">
        <v>99</v>
      </c>
      <c r="C108" s="60">
        <f>ROUND(VLOOKUP(A108,'Contribution Allocation_Report'!$A$9:$D$311,4,FALSE)*$C$312,0)</f>
        <v>3281409</v>
      </c>
      <c r="D108" s="60">
        <f>ROUND(VLOOKUP(A108,'Contribution Allocation_Report'!$A$9:$D$311,4,FALSE)*$D$312,0)</f>
        <v>2636859</v>
      </c>
      <c r="E108" s="60">
        <f>ROUND(VLOOKUP(A108,'Contribution Allocation_Report'!$A$9:$D$311,4,FALSE)*$E$312,0)</f>
        <v>2122960</v>
      </c>
      <c r="J108" s="166">
        <v>2432</v>
      </c>
      <c r="K108" s="205">
        <f t="shared" si="1"/>
        <v>0</v>
      </c>
    </row>
    <row r="109" spans="1:11">
      <c r="A109" s="143">
        <v>7440</v>
      </c>
      <c r="B109" s="149" t="s">
        <v>532</v>
      </c>
      <c r="C109" s="61">
        <f>ROUND(VLOOKUP(A109,'Contribution Allocation_Report'!$A$9:$D$311,4,FALSE)*$C$312,0)</f>
        <v>330522</v>
      </c>
      <c r="D109" s="61">
        <f>ROUND(VLOOKUP(A109,'Contribution Allocation_Report'!$A$9:$D$311,4,FALSE)*$D$312,0)</f>
        <v>265600</v>
      </c>
      <c r="E109" s="61">
        <f>ROUND(VLOOKUP(A109,'Contribution Allocation_Report'!$A$9:$D$311,4,FALSE)*$E$312,0)</f>
        <v>213837</v>
      </c>
      <c r="J109" s="164">
        <v>7440</v>
      </c>
      <c r="K109" s="205">
        <f t="shared" si="1"/>
        <v>0</v>
      </c>
    </row>
    <row r="110" spans="1:11">
      <c r="A110" s="147">
        <v>16052</v>
      </c>
      <c r="B110" s="148" t="s">
        <v>100</v>
      </c>
      <c r="C110" s="60">
        <f>ROUND(VLOOKUP(A110,'Contribution Allocation_Report'!$A$9:$D$311,4,FALSE)*$C$312,0)</f>
        <v>38519589</v>
      </c>
      <c r="D110" s="60">
        <f>ROUND(VLOOKUP(A110,'Contribution Allocation_Report'!$A$9:$D$311,4,FALSE)*$D$312,0)</f>
        <v>30953390</v>
      </c>
      <c r="E110" s="60">
        <f>ROUND(VLOOKUP(A110,'Contribution Allocation_Report'!$A$9:$D$311,4,FALSE)*$E$312,0)</f>
        <v>24920867</v>
      </c>
      <c r="J110" s="164">
        <v>16052</v>
      </c>
      <c r="K110" s="205">
        <f t="shared" si="1"/>
        <v>0</v>
      </c>
    </row>
    <row r="111" spans="1:11">
      <c r="A111" s="143">
        <v>11118</v>
      </c>
      <c r="B111" s="149" t="s">
        <v>101</v>
      </c>
      <c r="C111" s="61">
        <f>ROUND(VLOOKUP(A111,'Contribution Allocation_Report'!$A$9:$D$311,4,FALSE)*$C$312,0)</f>
        <v>1046305</v>
      </c>
      <c r="D111" s="61">
        <f>ROUND(VLOOKUP(A111,'Contribution Allocation_Report'!$A$9:$D$311,4,FALSE)*$D$312,0)</f>
        <v>840785</v>
      </c>
      <c r="E111" s="61">
        <f>ROUND(VLOOKUP(A111,'Contribution Allocation_Report'!$A$9:$D$311,4,FALSE)*$E$312,0)</f>
        <v>676924</v>
      </c>
      <c r="J111" s="166">
        <v>11118</v>
      </c>
      <c r="K111" s="205">
        <f t="shared" si="1"/>
        <v>0</v>
      </c>
    </row>
    <row r="112" spans="1:11">
      <c r="A112" s="147">
        <v>27083</v>
      </c>
      <c r="B112" s="148" t="s">
        <v>102</v>
      </c>
      <c r="C112" s="60">
        <f>ROUND(VLOOKUP(A112,'Contribution Allocation_Report'!$A$9:$D$311,4,FALSE)*$C$312,0)</f>
        <v>1586066</v>
      </c>
      <c r="D112" s="60">
        <f>ROUND(VLOOKUP(A112,'Contribution Allocation_Report'!$A$9:$D$311,4,FALSE)*$D$312,0)</f>
        <v>1274523</v>
      </c>
      <c r="E112" s="60">
        <f>ROUND(VLOOKUP(A112,'Contribution Allocation_Report'!$A$9:$D$311,4,FALSE)*$E$312,0)</f>
        <v>1026131</v>
      </c>
      <c r="J112" s="164">
        <v>27083</v>
      </c>
      <c r="K112" s="205">
        <f t="shared" si="1"/>
        <v>0</v>
      </c>
    </row>
    <row r="113" spans="1:11">
      <c r="A113" s="143">
        <v>7021</v>
      </c>
      <c r="B113" s="149" t="s">
        <v>103</v>
      </c>
      <c r="C113" s="61">
        <f>ROUND(VLOOKUP(A113,'Contribution Allocation_Report'!$A$9:$D$311,4,FALSE)*$C$312,0)</f>
        <v>51713950</v>
      </c>
      <c r="D113" s="61">
        <f>ROUND(VLOOKUP(A113,'Contribution Allocation_Report'!$A$9:$D$311,4,FALSE)*$D$312,0)</f>
        <v>41556053</v>
      </c>
      <c r="E113" s="61">
        <f>ROUND(VLOOKUP(A113,'Contribution Allocation_Report'!$A$9:$D$311,4,FALSE)*$E$312,0)</f>
        <v>33457171</v>
      </c>
      <c r="J113" s="166">
        <v>7021</v>
      </c>
      <c r="K113" s="205">
        <f t="shared" si="1"/>
        <v>0</v>
      </c>
    </row>
    <row r="114" spans="1:11">
      <c r="A114" s="147">
        <v>4140</v>
      </c>
      <c r="B114" s="148" t="s">
        <v>104</v>
      </c>
      <c r="C114" s="60">
        <f>ROUND(VLOOKUP(A114,'Contribution Allocation_Report'!$A$9:$D$311,4,FALSE)*$C$312,0)</f>
        <v>317100</v>
      </c>
      <c r="D114" s="60">
        <f>ROUND(VLOOKUP(A114,'Contribution Allocation_Report'!$A$9:$D$311,4,FALSE)*$D$312,0)</f>
        <v>254814</v>
      </c>
      <c r="E114" s="60">
        <f>ROUND(VLOOKUP(A114,'Contribution Allocation_Report'!$A$9:$D$311,4,FALSE)*$E$312,0)</f>
        <v>205153</v>
      </c>
      <c r="J114" s="164">
        <v>4140</v>
      </c>
      <c r="K114" s="205">
        <f t="shared" si="1"/>
        <v>0</v>
      </c>
    </row>
    <row r="115" spans="1:11">
      <c r="A115" s="143">
        <v>13041</v>
      </c>
      <c r="B115" s="149" t="s">
        <v>105</v>
      </c>
      <c r="C115" s="61">
        <f>ROUND(VLOOKUP(A115,'Contribution Allocation_Report'!$A$9:$D$311,4,FALSE)*$C$312,0)</f>
        <v>45381411</v>
      </c>
      <c r="D115" s="61">
        <f>ROUND(VLOOKUP(A115,'Contribution Allocation_Report'!$A$9:$D$311,4,FALSE)*$D$312,0)</f>
        <v>36467381</v>
      </c>
      <c r="E115" s="61">
        <f>ROUND(VLOOKUP(A115,'Contribution Allocation_Report'!$A$9:$D$311,4,FALSE)*$E$312,0)</f>
        <v>29360233</v>
      </c>
      <c r="J115" s="166">
        <v>13041</v>
      </c>
      <c r="K115" s="205">
        <f t="shared" si="1"/>
        <v>0</v>
      </c>
    </row>
    <row r="116" spans="1:11">
      <c r="A116" s="147">
        <v>2339</v>
      </c>
      <c r="B116" s="148" t="s">
        <v>106</v>
      </c>
      <c r="C116" s="60">
        <f>ROUND(VLOOKUP(A116,'Contribution Allocation_Report'!$A$9:$D$311,4,FALSE)*$C$312,0)</f>
        <v>604353</v>
      </c>
      <c r="D116" s="60">
        <f>ROUND(VLOOKUP(A116,'Contribution Allocation_Report'!$A$9:$D$311,4,FALSE)*$D$312,0)</f>
        <v>485643</v>
      </c>
      <c r="E116" s="60">
        <f>ROUND(VLOOKUP(A116,'Contribution Allocation_Report'!$A$9:$D$311,4,FALSE)*$E$312,0)</f>
        <v>390996</v>
      </c>
      <c r="J116" s="164">
        <v>2339</v>
      </c>
      <c r="K116" s="205">
        <f t="shared" si="1"/>
        <v>0</v>
      </c>
    </row>
    <row r="117" spans="1:11">
      <c r="A117" s="143">
        <v>2362</v>
      </c>
      <c r="B117" s="149" t="s">
        <v>107</v>
      </c>
      <c r="C117" s="61">
        <f>ROUND(VLOOKUP(A117,'Contribution Allocation_Report'!$A$9:$D$311,4,FALSE)*$C$312,0)</f>
        <v>939434</v>
      </c>
      <c r="D117" s="61">
        <f>ROUND(VLOOKUP(A117,'Contribution Allocation_Report'!$A$9:$D$311,4,FALSE)*$D$312,0)</f>
        <v>754906</v>
      </c>
      <c r="E117" s="61">
        <f>ROUND(VLOOKUP(A117,'Contribution Allocation_Report'!$A$9:$D$311,4,FALSE)*$E$312,0)</f>
        <v>607782</v>
      </c>
      <c r="J117" s="166">
        <v>2362</v>
      </c>
      <c r="K117" s="205">
        <f t="shared" si="1"/>
        <v>0</v>
      </c>
    </row>
    <row r="118" spans="1:11">
      <c r="A118" s="147">
        <v>5013</v>
      </c>
      <c r="B118" s="148" t="s">
        <v>108</v>
      </c>
      <c r="C118" s="60">
        <f>ROUND(VLOOKUP(A118,'Contribution Allocation_Report'!$A$9:$D$311,4,FALSE)*$C$312,0)</f>
        <v>831120</v>
      </c>
      <c r="D118" s="60">
        <f>ROUND(VLOOKUP(A118,'Contribution Allocation_Report'!$A$9:$D$311,4,FALSE)*$D$312,0)</f>
        <v>667867</v>
      </c>
      <c r="E118" s="60">
        <f>ROUND(VLOOKUP(A118,'Contribution Allocation_Report'!$A$9:$D$311,4,FALSE)*$E$312,0)</f>
        <v>537706</v>
      </c>
      <c r="J118" s="164">
        <v>5013</v>
      </c>
      <c r="K118" s="205">
        <f t="shared" si="1"/>
        <v>0</v>
      </c>
    </row>
    <row r="119" spans="1:11">
      <c r="A119" s="143">
        <v>3110</v>
      </c>
      <c r="B119" s="149" t="s">
        <v>109</v>
      </c>
      <c r="C119" s="61">
        <f>ROUND(VLOOKUP(A119,'Contribution Allocation_Report'!$A$9:$D$311,4,FALSE)*$C$312,0)</f>
        <v>4049239</v>
      </c>
      <c r="D119" s="61">
        <f>ROUND(VLOOKUP(A119,'Contribution Allocation_Report'!$A$9:$D$311,4,FALSE)*$D$312,0)</f>
        <v>3253868</v>
      </c>
      <c r="E119" s="61">
        <f>ROUND(VLOOKUP(A119,'Contribution Allocation_Report'!$A$9:$D$311,4,FALSE)*$E$312,0)</f>
        <v>2619720</v>
      </c>
      <c r="J119" s="166">
        <v>3110</v>
      </c>
      <c r="K119" s="205">
        <f t="shared" si="1"/>
        <v>0</v>
      </c>
    </row>
    <row r="120" spans="1:11">
      <c r="A120" s="147">
        <v>14044</v>
      </c>
      <c r="B120" s="148" t="s">
        <v>110</v>
      </c>
      <c r="C120" s="60">
        <f>ROUND(VLOOKUP(A120,'Contribution Allocation_Report'!$A$9:$D$311,4,FALSE)*$C$312,0)</f>
        <v>12871711</v>
      </c>
      <c r="D120" s="60">
        <f>ROUND(VLOOKUP(A120,'Contribution Allocation_Report'!$A$9:$D$311,4,FALSE)*$D$312,0)</f>
        <v>10343389</v>
      </c>
      <c r="E120" s="60">
        <f>ROUND(VLOOKUP(A120,'Contribution Allocation_Report'!$A$9:$D$311,4,FALSE)*$E$312,0)</f>
        <v>8327560</v>
      </c>
      <c r="J120" s="164">
        <v>14044</v>
      </c>
      <c r="K120" s="205">
        <f t="shared" si="1"/>
        <v>0</v>
      </c>
    </row>
    <row r="121" spans="1:11">
      <c r="A121" s="143">
        <v>4009</v>
      </c>
      <c r="B121" s="149" t="s">
        <v>111</v>
      </c>
      <c r="C121" s="61">
        <f>ROUND(VLOOKUP(A121,'Contribution Allocation_Report'!$A$9:$D$311,4,FALSE)*$C$312,0)</f>
        <v>1669432</v>
      </c>
      <c r="D121" s="61">
        <f>ROUND(VLOOKUP(A121,'Contribution Allocation_Report'!$A$9:$D$311,4,FALSE)*$D$312,0)</f>
        <v>1341515</v>
      </c>
      <c r="E121" s="61">
        <f>ROUND(VLOOKUP(A121,'Contribution Allocation_Report'!$A$9:$D$311,4,FALSE)*$E$312,0)</f>
        <v>1080066</v>
      </c>
      <c r="J121" s="166">
        <v>4009</v>
      </c>
      <c r="K121" s="205">
        <f t="shared" si="1"/>
        <v>0</v>
      </c>
    </row>
    <row r="122" spans="1:11">
      <c r="A122" s="147">
        <v>7022</v>
      </c>
      <c r="B122" s="148" t="s">
        <v>112</v>
      </c>
      <c r="C122" s="60">
        <f>ROUND(VLOOKUP(A122,'Contribution Allocation_Report'!$A$9:$D$311,4,FALSE)*$C$312,0)</f>
        <v>5181997</v>
      </c>
      <c r="D122" s="60">
        <f>ROUND(VLOOKUP(A122,'Contribution Allocation_Report'!$A$9:$D$311,4,FALSE)*$D$312,0)</f>
        <v>4164125</v>
      </c>
      <c r="E122" s="60">
        <f>ROUND(VLOOKUP(A122,'Contribution Allocation_Report'!$A$9:$D$311,4,FALSE)*$E$312,0)</f>
        <v>3352576</v>
      </c>
      <c r="J122" s="164">
        <v>7022</v>
      </c>
      <c r="K122" s="205">
        <f t="shared" si="1"/>
        <v>0</v>
      </c>
    </row>
    <row r="123" spans="1:11">
      <c r="A123" s="143">
        <v>2430</v>
      </c>
      <c r="B123" s="149" t="s">
        <v>113</v>
      </c>
      <c r="C123" s="61">
        <f>ROUND(VLOOKUP(A123,'Contribution Allocation_Report'!$A$9:$D$311,4,FALSE)*$C$312,0)</f>
        <v>738380</v>
      </c>
      <c r="D123" s="61">
        <f>ROUND(VLOOKUP(A123,'Contribution Allocation_Report'!$A$9:$D$311,4,FALSE)*$D$312,0)</f>
        <v>593344</v>
      </c>
      <c r="E123" s="61">
        <f>ROUND(VLOOKUP(A123,'Contribution Allocation_Report'!$A$9:$D$311,4,FALSE)*$E$312,0)</f>
        <v>477707</v>
      </c>
      <c r="J123" s="166">
        <v>2430</v>
      </c>
      <c r="K123" s="205">
        <f t="shared" si="1"/>
        <v>0</v>
      </c>
    </row>
    <row r="124" spans="1:11">
      <c r="A124" s="147">
        <v>9150</v>
      </c>
      <c r="B124" s="148" t="s">
        <v>114</v>
      </c>
      <c r="C124" s="60">
        <f>ROUND(VLOOKUP(A124,'Contribution Allocation_Report'!$A$9:$D$311,4,FALSE)*$C$312,0)</f>
        <v>385204</v>
      </c>
      <c r="D124" s="60">
        <f>ROUND(VLOOKUP(A124,'Contribution Allocation_Report'!$A$9:$D$311,4,FALSE)*$D$312,0)</f>
        <v>309540</v>
      </c>
      <c r="E124" s="60">
        <f>ROUND(VLOOKUP(A124,'Contribution Allocation_Report'!$A$9:$D$311,4,FALSE)*$E$312,0)</f>
        <v>249214</v>
      </c>
      <c r="J124" s="164">
        <v>9150</v>
      </c>
      <c r="K124" s="205">
        <f t="shared" si="1"/>
        <v>0</v>
      </c>
    </row>
    <row r="125" spans="1:11">
      <c r="A125" s="143">
        <v>6017</v>
      </c>
      <c r="B125" s="149" t="s">
        <v>115</v>
      </c>
      <c r="C125" s="61">
        <f>ROUND(VLOOKUP(A125,'Contribution Allocation_Report'!$A$9:$D$311,4,FALSE)*$C$312,0)</f>
        <v>36112258</v>
      </c>
      <c r="D125" s="61">
        <f>ROUND(VLOOKUP(A125,'Contribution Allocation_Report'!$A$9:$D$311,4,FALSE)*$D$312,0)</f>
        <v>29018918</v>
      </c>
      <c r="E125" s="61">
        <f>ROUND(VLOOKUP(A125,'Contribution Allocation_Report'!$A$9:$D$311,4,FALSE)*$E$312,0)</f>
        <v>23363405</v>
      </c>
      <c r="J125" s="166">
        <v>6017</v>
      </c>
      <c r="K125" s="205">
        <f t="shared" si="1"/>
        <v>0</v>
      </c>
    </row>
    <row r="126" spans="1:11">
      <c r="A126" s="147">
        <v>26080</v>
      </c>
      <c r="B126" s="148" t="s">
        <v>116</v>
      </c>
      <c r="C126" s="60">
        <f>ROUND(VLOOKUP(A126,'Contribution Allocation_Report'!$A$9:$D$311,4,FALSE)*$C$312,0)</f>
        <v>1158442</v>
      </c>
      <c r="D126" s="60">
        <f>ROUND(VLOOKUP(A126,'Contribution Allocation_Report'!$A$9:$D$311,4,FALSE)*$D$312,0)</f>
        <v>930896</v>
      </c>
      <c r="E126" s="60">
        <f>ROUND(VLOOKUP(A126,'Contribution Allocation_Report'!$A$9:$D$311,4,FALSE)*$E$312,0)</f>
        <v>749473</v>
      </c>
      <c r="J126" s="164">
        <v>26080</v>
      </c>
      <c r="K126" s="205">
        <f t="shared" si="1"/>
        <v>0</v>
      </c>
    </row>
    <row r="127" spans="1:11">
      <c r="A127" s="143">
        <v>2327</v>
      </c>
      <c r="B127" s="149" t="s">
        <v>117</v>
      </c>
      <c r="C127" s="61">
        <f>ROUND(VLOOKUP(A127,'Contribution Allocation_Report'!$A$9:$D$311,4,FALSE)*$C$312,0)</f>
        <v>1241441</v>
      </c>
      <c r="D127" s="61">
        <f>ROUND(VLOOKUP(A127,'Contribution Allocation_Report'!$A$9:$D$311,4,FALSE)*$D$312,0)</f>
        <v>997591</v>
      </c>
      <c r="E127" s="61">
        <f>ROUND(VLOOKUP(A127,'Contribution Allocation_Report'!$A$9:$D$311,4,FALSE)*$E$312,0)</f>
        <v>803170</v>
      </c>
      <c r="J127" s="166">
        <v>2327</v>
      </c>
      <c r="K127" s="205">
        <f t="shared" si="1"/>
        <v>0</v>
      </c>
    </row>
    <row r="128" spans="1:11">
      <c r="A128" s="147">
        <v>10119</v>
      </c>
      <c r="B128" s="148" t="s">
        <v>118</v>
      </c>
      <c r="C128" s="60">
        <f>ROUND(VLOOKUP(A128,'Contribution Allocation_Report'!$A$9:$D$311,4,FALSE)*$C$312,0)</f>
        <v>631566</v>
      </c>
      <c r="D128" s="60">
        <f>ROUND(VLOOKUP(A128,'Contribution Allocation_Report'!$A$9:$D$311,4,FALSE)*$D$312,0)</f>
        <v>507511</v>
      </c>
      <c r="E128" s="60">
        <f>ROUND(VLOOKUP(A128,'Contribution Allocation_Report'!$A$9:$D$311,4,FALSE)*$E$312,0)</f>
        <v>408602</v>
      </c>
      <c r="J128" s="164">
        <v>10119</v>
      </c>
      <c r="K128" s="205">
        <f t="shared" si="1"/>
        <v>0</v>
      </c>
    </row>
    <row r="129" spans="1:11">
      <c r="A129" s="143">
        <v>573</v>
      </c>
      <c r="B129" s="149" t="s">
        <v>411</v>
      </c>
      <c r="C129" s="61">
        <f>ROUND(VLOOKUP(A129,'Contribution Allocation_Report'!$A$9:$D$311,4,FALSE)*$C$312,0)</f>
        <v>1616818</v>
      </c>
      <c r="D129" s="61">
        <f>ROUND(VLOOKUP(A129,'Contribution Allocation_Report'!$A$9:$D$311,4,FALSE)*$D$312,0)</f>
        <v>1299235</v>
      </c>
      <c r="E129" s="61">
        <f>ROUND(VLOOKUP(A129,'Contribution Allocation_Report'!$A$9:$D$311,4,FALSE)*$E$312,0)</f>
        <v>1046027</v>
      </c>
      <c r="J129" s="166">
        <v>573</v>
      </c>
      <c r="K129" s="205">
        <f t="shared" si="1"/>
        <v>0</v>
      </c>
    </row>
    <row r="130" spans="1:11">
      <c r="A130" s="147">
        <v>2368</v>
      </c>
      <c r="B130" s="148" t="s">
        <v>119</v>
      </c>
      <c r="C130" s="60">
        <f>ROUND(VLOOKUP(A130,'Contribution Allocation_Report'!$A$9:$D$311,4,FALSE)*$C$312,0)</f>
        <v>1210943</v>
      </c>
      <c r="D130" s="60">
        <f>ROUND(VLOOKUP(A130,'Contribution Allocation_Report'!$A$9:$D$311,4,FALSE)*$D$312,0)</f>
        <v>973084</v>
      </c>
      <c r="E130" s="60">
        <f>ROUND(VLOOKUP(A130,'Contribution Allocation_Report'!$A$9:$D$311,4,FALSE)*$E$312,0)</f>
        <v>783439</v>
      </c>
      <c r="J130" s="164">
        <v>2368</v>
      </c>
      <c r="K130" s="205">
        <f t="shared" si="1"/>
        <v>0</v>
      </c>
    </row>
    <row r="131" spans="1:11">
      <c r="A131" s="143">
        <v>7420</v>
      </c>
      <c r="B131" s="149" t="s">
        <v>120</v>
      </c>
      <c r="C131" s="61">
        <f>ROUND(VLOOKUP(A131,'Contribution Allocation_Report'!$A$9:$D$311,4,FALSE)*$C$312,0)</f>
        <v>737672</v>
      </c>
      <c r="D131" s="61">
        <f>ROUND(VLOOKUP(A131,'Contribution Allocation_Report'!$A$9:$D$311,4,FALSE)*$D$312,0)</f>
        <v>592775</v>
      </c>
      <c r="E131" s="61">
        <f>ROUND(VLOOKUP(A131,'Contribution Allocation_Report'!$A$9:$D$311,4,FALSE)*$E$312,0)</f>
        <v>477249</v>
      </c>
      <c r="J131" s="166">
        <v>7420</v>
      </c>
      <c r="K131" s="205">
        <f t="shared" si="1"/>
        <v>0</v>
      </c>
    </row>
    <row r="132" spans="1:11">
      <c r="A132" s="147">
        <v>6018</v>
      </c>
      <c r="B132" s="148" t="s">
        <v>121</v>
      </c>
      <c r="C132" s="60">
        <f>ROUND(VLOOKUP(A132,'Contribution Allocation_Report'!$A$9:$D$311,4,FALSE)*$C$312,0)</f>
        <v>2068285</v>
      </c>
      <c r="D132" s="60">
        <f>ROUND(VLOOKUP(A132,'Contribution Allocation_Report'!$A$9:$D$311,4,FALSE)*$D$312,0)</f>
        <v>1662023</v>
      </c>
      <c r="E132" s="60">
        <f>ROUND(VLOOKUP(A132,'Contribution Allocation_Report'!$A$9:$D$311,4,FALSE)*$E$312,0)</f>
        <v>1338110</v>
      </c>
      <c r="J132" s="164">
        <v>6018</v>
      </c>
      <c r="K132" s="205">
        <f t="shared" si="1"/>
        <v>0</v>
      </c>
    </row>
    <row r="133" spans="1:11">
      <c r="A133" s="143">
        <v>3321</v>
      </c>
      <c r="B133" s="149" t="s">
        <v>122</v>
      </c>
      <c r="C133" s="61">
        <f>ROUND(VLOOKUP(A133,'Contribution Allocation_Report'!$A$9:$D$311,4,FALSE)*$C$312,0)</f>
        <v>1046588</v>
      </c>
      <c r="D133" s="61">
        <f>ROUND(VLOOKUP(A133,'Contribution Allocation_Report'!$A$9:$D$311,4,FALSE)*$D$312,0)</f>
        <v>841012</v>
      </c>
      <c r="E133" s="61">
        <f>ROUND(VLOOKUP(A133,'Contribution Allocation_Report'!$A$9:$D$311,4,FALSE)*$E$312,0)</f>
        <v>677107</v>
      </c>
      <c r="J133" s="166">
        <v>3321</v>
      </c>
      <c r="K133" s="205">
        <f t="shared" si="1"/>
        <v>0</v>
      </c>
    </row>
    <row r="134" spans="1:11">
      <c r="A134" s="147">
        <v>29122</v>
      </c>
      <c r="B134" s="148" t="s">
        <v>123</v>
      </c>
      <c r="C134" s="60">
        <f>ROUND(VLOOKUP(A134,'Contribution Allocation_Report'!$A$9:$D$311,4,FALSE)*$C$312,0)</f>
        <v>1125594</v>
      </c>
      <c r="D134" s="60">
        <f>ROUND(VLOOKUP(A134,'Contribution Allocation_Report'!$A$9:$D$311,4,FALSE)*$D$312,0)</f>
        <v>904500</v>
      </c>
      <c r="E134" s="60">
        <f>ROUND(VLOOKUP(A134,'Contribution Allocation_Report'!$A$9:$D$311,4,FALSE)*$E$312,0)</f>
        <v>728221</v>
      </c>
      <c r="J134" s="164">
        <v>29122</v>
      </c>
      <c r="K134" s="205">
        <f t="shared" si="1"/>
        <v>0</v>
      </c>
    </row>
    <row r="135" spans="1:11">
      <c r="A135" s="143">
        <v>29088</v>
      </c>
      <c r="B135" s="149" t="s">
        <v>124</v>
      </c>
      <c r="C135" s="61">
        <f>ROUND(VLOOKUP(A135,'Contribution Allocation_Report'!$A$9:$D$311,4,FALSE)*$C$312,0)</f>
        <v>1577259</v>
      </c>
      <c r="D135" s="61">
        <f>ROUND(VLOOKUP(A135,'Contribution Allocation_Report'!$A$9:$D$311,4,FALSE)*$D$312,0)</f>
        <v>1267446</v>
      </c>
      <c r="E135" s="61">
        <f>ROUND(VLOOKUP(A135,'Contribution Allocation_Report'!$A$9:$D$311,4,FALSE)*$E$312,0)</f>
        <v>1020433</v>
      </c>
      <c r="J135" s="166">
        <v>29088</v>
      </c>
      <c r="K135" s="205">
        <f t="shared" si="1"/>
        <v>0</v>
      </c>
    </row>
    <row r="136" spans="1:11">
      <c r="A136" s="143">
        <v>7337</v>
      </c>
      <c r="B136" s="149" t="s">
        <v>125</v>
      </c>
      <c r="C136" s="61">
        <f>ROUND(VLOOKUP(A136,'Contribution Allocation_Report'!$A$9:$D$311,4,FALSE)*$C$312,0)</f>
        <v>430682</v>
      </c>
      <c r="D136" s="61">
        <f>ROUND(VLOOKUP(A136,'Contribution Allocation_Report'!$A$9:$D$311,4,FALSE)*$D$312,0)</f>
        <v>346085</v>
      </c>
      <c r="E136" s="61">
        <f>ROUND(VLOOKUP(A136,'Contribution Allocation_Report'!$A$9:$D$311,4,FALSE)*$E$312,0)</f>
        <v>278636</v>
      </c>
      <c r="J136" s="164">
        <v>7337</v>
      </c>
      <c r="K136" s="205">
        <f t="shared" si="1"/>
        <v>0</v>
      </c>
    </row>
    <row r="137" spans="1:11">
      <c r="A137" s="147">
        <v>2329</v>
      </c>
      <c r="B137" s="148" t="s">
        <v>126</v>
      </c>
      <c r="C137" s="60">
        <f>ROUND(VLOOKUP(A137,'Contribution Allocation_Report'!$A$9:$D$311,4,FALSE)*$C$312,0)</f>
        <v>1343271</v>
      </c>
      <c r="D137" s="60">
        <f>ROUND(VLOOKUP(A137,'Contribution Allocation_Report'!$A$9:$D$311,4,FALSE)*$D$312,0)</f>
        <v>1079419</v>
      </c>
      <c r="E137" s="60">
        <f>ROUND(VLOOKUP(A137,'Contribution Allocation_Report'!$A$9:$D$311,4,FALSE)*$E$312,0)</f>
        <v>869051</v>
      </c>
      <c r="J137" s="166">
        <v>2329</v>
      </c>
      <c r="K137" s="205">
        <f t="shared" si="1"/>
        <v>0</v>
      </c>
    </row>
    <row r="138" spans="1:11">
      <c r="A138" s="143">
        <v>17425</v>
      </c>
      <c r="B138" s="149" t="s">
        <v>128</v>
      </c>
      <c r="C138" s="61">
        <f>ROUND(VLOOKUP(A138,'Contribution Allocation_Report'!$A$9:$D$311,4,FALSE)*$C$312,0)</f>
        <v>256897</v>
      </c>
      <c r="D138" s="61">
        <f>ROUND(VLOOKUP(A138,'Contribution Allocation_Report'!$A$9:$D$311,4,FALSE)*$D$312,0)</f>
        <v>206436</v>
      </c>
      <c r="E138" s="61">
        <f>ROUND(VLOOKUP(A138,'Contribution Allocation_Report'!$A$9:$D$311,4,FALSE)*$E$312,0)</f>
        <v>166203</v>
      </c>
      <c r="J138" s="164">
        <v>17425</v>
      </c>
      <c r="K138" s="205">
        <f t="shared" si="1"/>
        <v>0</v>
      </c>
    </row>
    <row r="139" spans="1:11">
      <c r="A139" s="147">
        <v>4010</v>
      </c>
      <c r="B139" s="148" t="s">
        <v>129</v>
      </c>
      <c r="C139" s="60">
        <f>ROUND(VLOOKUP(A139,'Contribution Allocation_Report'!$A$9:$D$311,4,FALSE)*$C$312,0)</f>
        <v>795327</v>
      </c>
      <c r="D139" s="60">
        <f>ROUND(VLOOKUP(A139,'Contribution Allocation_Report'!$A$9:$D$311,4,FALSE)*$D$312,0)</f>
        <v>639105</v>
      </c>
      <c r="E139" s="60">
        <f>ROUND(VLOOKUP(A139,'Contribution Allocation_Report'!$A$9:$D$311,4,FALSE)*$E$312,0)</f>
        <v>514549</v>
      </c>
      <c r="J139" s="166">
        <v>4010</v>
      </c>
      <c r="K139" s="205">
        <f t="shared" ref="K139:K202" si="2">+A139-J139</f>
        <v>0</v>
      </c>
    </row>
    <row r="140" spans="1:11">
      <c r="A140" s="143">
        <v>7023</v>
      </c>
      <c r="B140" s="149" t="s">
        <v>130</v>
      </c>
      <c r="C140" s="61">
        <f>ROUND(VLOOKUP(A140,'Contribution Allocation_Report'!$A$9:$D$311,4,FALSE)*$C$312,0)</f>
        <v>93561672</v>
      </c>
      <c r="D140" s="61">
        <f>ROUND(VLOOKUP(A140,'Contribution Allocation_Report'!$A$9:$D$311,4,FALSE)*$D$312,0)</f>
        <v>75183848</v>
      </c>
      <c r="E140" s="61">
        <f>ROUND(VLOOKUP(A140,'Contribution Allocation_Report'!$A$9:$D$311,4,FALSE)*$E$312,0)</f>
        <v>60531226</v>
      </c>
      <c r="J140" s="164">
        <v>7023</v>
      </c>
      <c r="K140" s="205">
        <f t="shared" si="2"/>
        <v>0</v>
      </c>
    </row>
    <row r="141" spans="1:11">
      <c r="A141" s="147">
        <v>7338</v>
      </c>
      <c r="B141" s="148" t="s">
        <v>131</v>
      </c>
      <c r="C141" s="60">
        <f>ROUND(VLOOKUP(A141,'Contribution Allocation_Report'!$A$9:$D$311,4,FALSE)*$C$312,0)</f>
        <v>823899</v>
      </c>
      <c r="D141" s="60">
        <f>ROUND(VLOOKUP(A141,'Contribution Allocation_Report'!$A$9:$D$311,4,FALSE)*$D$312,0)</f>
        <v>662065</v>
      </c>
      <c r="E141" s="60">
        <f>ROUND(VLOOKUP(A141,'Contribution Allocation_Report'!$A$9:$D$311,4,FALSE)*$E$312,0)</f>
        <v>533035</v>
      </c>
      <c r="J141" s="166">
        <v>7338</v>
      </c>
      <c r="K141" s="205">
        <f t="shared" si="2"/>
        <v>0</v>
      </c>
    </row>
    <row r="142" spans="1:11">
      <c r="A142" s="143">
        <v>12037</v>
      </c>
      <c r="B142" s="149" t="s">
        <v>132</v>
      </c>
      <c r="C142" s="61">
        <f>ROUND(VLOOKUP(A142,'Contribution Allocation_Report'!$A$9:$D$311,4,FALSE)*$C$312,0)</f>
        <v>5655835</v>
      </c>
      <c r="D142" s="61">
        <f>ROUND(VLOOKUP(A142,'Contribution Allocation_Report'!$A$9:$D$311,4,FALSE)*$D$312,0)</f>
        <v>4544889</v>
      </c>
      <c r="E142" s="61">
        <f>ROUND(VLOOKUP(A142,'Contribution Allocation_Report'!$A$9:$D$311,4,FALSE)*$E$312,0)</f>
        <v>3659133</v>
      </c>
      <c r="J142" s="164">
        <v>12037</v>
      </c>
      <c r="K142" s="205">
        <f t="shared" si="2"/>
        <v>0</v>
      </c>
    </row>
    <row r="143" spans="1:11">
      <c r="A143" s="147">
        <v>3150</v>
      </c>
      <c r="B143" s="148" t="s">
        <v>133</v>
      </c>
      <c r="C143" s="60">
        <f>ROUND(VLOOKUP(A143,'Contribution Allocation_Report'!$A$9:$D$311,4,FALSE)*$C$312,0)</f>
        <v>12120277</v>
      </c>
      <c r="D143" s="60">
        <f>ROUND(VLOOKUP(A143,'Contribution Allocation_Report'!$A$9:$D$311,4,FALSE)*$D$312,0)</f>
        <v>9739555</v>
      </c>
      <c r="E143" s="60">
        <f>ROUND(VLOOKUP(A143,'Contribution Allocation_Report'!$A$9:$D$311,4,FALSE)*$E$312,0)</f>
        <v>7841408</v>
      </c>
      <c r="J143" s="166">
        <v>3150</v>
      </c>
      <c r="K143" s="205">
        <f t="shared" si="2"/>
        <v>0</v>
      </c>
    </row>
    <row r="144" spans="1:11">
      <c r="A144" s="143">
        <v>3160</v>
      </c>
      <c r="B144" s="149" t="s">
        <v>134</v>
      </c>
      <c r="C144" s="61">
        <f>ROUND(VLOOKUP(A144,'Contribution Allocation_Report'!$A$9:$D$311,4,FALSE)*$C$312,0)</f>
        <v>2836115</v>
      </c>
      <c r="D144" s="61">
        <f>ROUND(VLOOKUP(A144,'Contribution Allocation_Report'!$A$9:$D$311,4,FALSE)*$D$312,0)</f>
        <v>2279032</v>
      </c>
      <c r="E144" s="61">
        <f>ROUND(VLOOKUP(A144,'Contribution Allocation_Report'!$A$9:$D$311,4,FALSE)*$E$312,0)</f>
        <v>1834870</v>
      </c>
      <c r="J144" s="164">
        <v>3160</v>
      </c>
      <c r="K144" s="205">
        <f t="shared" si="2"/>
        <v>0</v>
      </c>
    </row>
    <row r="145" spans="1:11">
      <c r="A145" s="147">
        <v>10120</v>
      </c>
      <c r="B145" s="148" t="s">
        <v>136</v>
      </c>
      <c r="C145" s="60">
        <f>ROUND(VLOOKUP(A145,'Contribution Allocation_Report'!$A$9:$D$311,4,FALSE)*$C$312,0)</f>
        <v>1401350</v>
      </c>
      <c r="D145" s="60">
        <f>ROUND(VLOOKUP(A145,'Contribution Allocation_Report'!$A$9:$D$311,4,FALSE)*$D$312,0)</f>
        <v>1126090</v>
      </c>
      <c r="E145" s="60">
        <f>ROUND(VLOOKUP(A145,'Contribution Allocation_Report'!$A$9:$D$311,4,FALSE)*$E$312,0)</f>
        <v>906626</v>
      </c>
      <c r="J145" s="166">
        <v>10120</v>
      </c>
      <c r="K145" s="205">
        <f t="shared" si="2"/>
        <v>0</v>
      </c>
    </row>
    <row r="146" spans="1:11">
      <c r="A146" s="143">
        <v>23070</v>
      </c>
      <c r="B146" s="149" t="s">
        <v>137</v>
      </c>
      <c r="C146" s="61">
        <f>ROUND(VLOOKUP(A146,'Contribution Allocation_Report'!$A$9:$D$311,4,FALSE)*$C$312,0)</f>
        <v>2261637</v>
      </c>
      <c r="D146" s="61">
        <f>ROUND(VLOOKUP(A146,'Contribution Allocation_Report'!$A$9:$D$311,4,FALSE)*$D$312,0)</f>
        <v>1817396</v>
      </c>
      <c r="E146" s="61">
        <f>ROUND(VLOOKUP(A146,'Contribution Allocation_Report'!$A$9:$D$311,4,FALSE)*$E$312,0)</f>
        <v>1463203</v>
      </c>
      <c r="J146" s="164">
        <v>23070</v>
      </c>
      <c r="K146" s="205">
        <f t="shared" si="2"/>
        <v>0</v>
      </c>
    </row>
    <row r="147" spans="1:11">
      <c r="A147" s="147">
        <v>3170</v>
      </c>
      <c r="B147" s="148" t="s">
        <v>138</v>
      </c>
      <c r="C147" s="60">
        <f>ROUND(VLOOKUP(A147,'Contribution Allocation_Report'!$A$9:$D$311,4,FALSE)*$C$312,0)</f>
        <v>26408289</v>
      </c>
      <c r="D147" s="60">
        <f>ROUND(VLOOKUP(A147,'Contribution Allocation_Report'!$A$9:$D$311,4,FALSE)*$D$312,0)</f>
        <v>21221049</v>
      </c>
      <c r="E147" s="60">
        <f>ROUND(VLOOKUP(A147,'Contribution Allocation_Report'!$A$9:$D$311,4,FALSE)*$E$312,0)</f>
        <v>17085267</v>
      </c>
      <c r="J147" s="166">
        <v>3170</v>
      </c>
      <c r="K147" s="205">
        <f t="shared" si="2"/>
        <v>0</v>
      </c>
    </row>
    <row r="148" spans="1:11">
      <c r="A148" s="143">
        <v>32093</v>
      </c>
      <c r="B148" s="149" t="s">
        <v>139</v>
      </c>
      <c r="C148" s="61">
        <f>ROUND(VLOOKUP(A148,'Contribution Allocation_Report'!$A$9:$D$311,4,FALSE)*$C$312,0)</f>
        <v>17283131</v>
      </c>
      <c r="D148" s="61">
        <f>ROUND(VLOOKUP(A148,'Contribution Allocation_Report'!$A$9:$D$311,4,FALSE)*$D$312,0)</f>
        <v>13888297</v>
      </c>
      <c r="E148" s="61">
        <f>ROUND(VLOOKUP(A148,'Contribution Allocation_Report'!$A$9:$D$311,4,FALSE)*$E$312,0)</f>
        <v>11181599</v>
      </c>
      <c r="J148" s="164">
        <v>32093</v>
      </c>
      <c r="K148" s="205">
        <f t="shared" si="2"/>
        <v>0</v>
      </c>
    </row>
    <row r="149" spans="1:11">
      <c r="A149" s="143">
        <v>14045</v>
      </c>
      <c r="B149" s="144" t="s">
        <v>140</v>
      </c>
      <c r="C149" s="78">
        <f>ROUND(VLOOKUP(A149,'Contribution Allocation_Report'!$A$9:$D$311,4,FALSE)*$C$312,0)</f>
        <v>30047830</v>
      </c>
      <c r="D149" s="78">
        <f>ROUND(VLOOKUP(A149,'Contribution Allocation_Report'!$A$9:$D$311,4,FALSE)*$D$312,0)</f>
        <v>24145694</v>
      </c>
      <c r="E149" s="78">
        <f>ROUND(VLOOKUP(A149,'Contribution Allocation_Report'!$A$9:$D$311,4,FALSE)*$E$312,0)</f>
        <v>19439926</v>
      </c>
      <c r="J149" s="166">
        <v>14045</v>
      </c>
      <c r="K149" s="205">
        <f t="shared" si="2"/>
        <v>0</v>
      </c>
    </row>
    <row r="150" spans="1:11">
      <c r="A150" s="147">
        <v>2322</v>
      </c>
      <c r="B150" s="148" t="s">
        <v>141</v>
      </c>
      <c r="C150" s="60">
        <f>ROUND(VLOOKUP(A150,'Contribution Allocation_Report'!$A$9:$D$311,4,FALSE)*$C$312,0)</f>
        <v>803822</v>
      </c>
      <c r="D150" s="60">
        <f>ROUND(VLOOKUP(A150,'Contribution Allocation_Report'!$A$9:$D$311,4,FALSE)*$D$312,0)</f>
        <v>645931</v>
      </c>
      <c r="E150" s="60">
        <f>ROUND(VLOOKUP(A150,'Contribution Allocation_Report'!$A$9:$D$311,4,FALSE)*$E$312,0)</f>
        <v>520045</v>
      </c>
      <c r="J150" s="164">
        <v>2322</v>
      </c>
      <c r="K150" s="205">
        <f t="shared" si="2"/>
        <v>0</v>
      </c>
    </row>
    <row r="151" spans="1:11">
      <c r="A151" s="143">
        <v>3006</v>
      </c>
      <c r="B151" s="149" t="s">
        <v>142</v>
      </c>
      <c r="C151" s="61">
        <f>ROUND(VLOOKUP(A151,'Contribution Allocation_Report'!$A$9:$D$311,4,FALSE)*$C$312,0)</f>
        <v>2441992</v>
      </c>
      <c r="D151" s="61">
        <f>ROUND(VLOOKUP(A151,'Contribution Allocation_Report'!$A$9:$D$311,4,FALSE)*$D$312,0)</f>
        <v>1962324</v>
      </c>
      <c r="E151" s="61">
        <f>ROUND(VLOOKUP(A151,'Contribution Allocation_Report'!$A$9:$D$311,4,FALSE)*$E$312,0)</f>
        <v>1579886</v>
      </c>
      <c r="J151" s="166">
        <v>3006</v>
      </c>
      <c r="K151" s="205">
        <f t="shared" si="2"/>
        <v>0</v>
      </c>
    </row>
    <row r="152" spans="1:11">
      <c r="A152" s="147">
        <v>6019</v>
      </c>
      <c r="B152" s="148" t="s">
        <v>143</v>
      </c>
      <c r="C152" s="60">
        <f>ROUND(VLOOKUP(A152,'Contribution Allocation_Report'!$A$9:$D$311,4,FALSE)*$C$312,0)</f>
        <v>12628265</v>
      </c>
      <c r="D152" s="60">
        <f>ROUND(VLOOKUP(A152,'Contribution Allocation_Report'!$A$9:$D$311,4,FALSE)*$D$312,0)</f>
        <v>10147762</v>
      </c>
      <c r="E152" s="60">
        <f>ROUND(VLOOKUP(A152,'Contribution Allocation_Report'!$A$9:$D$311,4,FALSE)*$E$312,0)</f>
        <v>8170059</v>
      </c>
      <c r="J152" s="164">
        <v>6019</v>
      </c>
      <c r="K152" s="205">
        <f t="shared" si="2"/>
        <v>0</v>
      </c>
    </row>
    <row r="153" spans="1:11">
      <c r="A153" s="143">
        <v>12128</v>
      </c>
      <c r="B153" s="149" t="s">
        <v>144</v>
      </c>
      <c r="C153" s="61">
        <f>ROUND(VLOOKUP(A153,'Contribution Allocation_Report'!$A$9:$D$311,4,FALSE)*$C$312,0)</f>
        <v>2904814</v>
      </c>
      <c r="D153" s="61">
        <f>ROUND(VLOOKUP(A153,'Contribution Allocation_Report'!$A$9:$D$311,4,FALSE)*$D$312,0)</f>
        <v>2334236</v>
      </c>
      <c r="E153" s="61">
        <f>ROUND(VLOOKUP(A153,'Contribution Allocation_Report'!$A$9:$D$311,4,FALSE)*$E$312,0)</f>
        <v>1879316</v>
      </c>
      <c r="J153" s="166">
        <v>12128</v>
      </c>
      <c r="K153" s="205">
        <f t="shared" si="2"/>
        <v>0</v>
      </c>
    </row>
    <row r="154" spans="1:11">
      <c r="A154" s="147">
        <v>3180</v>
      </c>
      <c r="B154" s="148" t="s">
        <v>145</v>
      </c>
      <c r="C154" s="60">
        <f>ROUND(VLOOKUP(A154,'Contribution Allocation_Report'!$A$9:$D$311,4,FALSE)*$C$312,0)</f>
        <v>5329305</v>
      </c>
      <c r="D154" s="60">
        <f>ROUND(VLOOKUP(A154,'Contribution Allocation_Report'!$A$9:$D$311,4,FALSE)*$D$312,0)</f>
        <v>4282498</v>
      </c>
      <c r="E154" s="60">
        <f>ROUND(VLOOKUP(A154,'Contribution Allocation_Report'!$A$9:$D$311,4,FALSE)*$E$312,0)</f>
        <v>3447879</v>
      </c>
      <c r="J154" s="164">
        <v>3180</v>
      </c>
      <c r="K154" s="205">
        <f t="shared" si="2"/>
        <v>0</v>
      </c>
    </row>
    <row r="155" spans="1:11">
      <c r="A155" s="143">
        <v>25075</v>
      </c>
      <c r="B155" s="149" t="s">
        <v>146</v>
      </c>
      <c r="C155" s="61">
        <f>ROUND(VLOOKUP(A155,'Contribution Allocation_Report'!$A$9:$D$311,4,FALSE)*$C$312,0)</f>
        <v>2299583</v>
      </c>
      <c r="D155" s="61">
        <f>ROUND(VLOOKUP(A155,'Contribution Allocation_Report'!$A$9:$D$311,4,FALSE)*$D$312,0)</f>
        <v>1847888</v>
      </c>
      <c r="E155" s="61">
        <f>ROUND(VLOOKUP(A155,'Contribution Allocation_Report'!$A$9:$D$311,4,FALSE)*$E$312,0)</f>
        <v>1487752</v>
      </c>
      <c r="J155" s="166">
        <v>25075</v>
      </c>
      <c r="K155" s="205">
        <f t="shared" si="2"/>
        <v>0</v>
      </c>
    </row>
    <row r="156" spans="1:11">
      <c r="A156" s="147">
        <v>2311</v>
      </c>
      <c r="B156" s="148" t="s">
        <v>440</v>
      </c>
      <c r="C156" s="60">
        <f>ROUND(VLOOKUP(A156,'Contribution Allocation_Report'!$A$9:$D$311,4,FALSE)*$C$312,0)</f>
        <v>868131</v>
      </c>
      <c r="D156" s="60">
        <f>ROUND(VLOOKUP(A156,'Contribution Allocation_Report'!$A$9:$D$311,4,FALSE)*$D$312,0)</f>
        <v>697609</v>
      </c>
      <c r="E156" s="60">
        <f>ROUND(VLOOKUP(A156,'Contribution Allocation_Report'!$A$9:$D$311,4,FALSE)*$E$312,0)</f>
        <v>561651</v>
      </c>
      <c r="J156" s="164">
        <v>2311</v>
      </c>
      <c r="K156" s="205">
        <f t="shared" si="2"/>
        <v>0</v>
      </c>
    </row>
    <row r="157" spans="1:11">
      <c r="A157" s="143">
        <v>9028</v>
      </c>
      <c r="B157" s="149" t="s">
        <v>147</v>
      </c>
      <c r="C157" s="61">
        <f>ROUND(VLOOKUP(A157,'Contribution Allocation_Report'!$A$9:$D$311,4,FALSE)*$C$312,0)</f>
        <v>791957</v>
      </c>
      <c r="D157" s="61">
        <f>ROUND(VLOOKUP(A157,'Contribution Allocation_Report'!$A$9:$D$311,4,FALSE)*$D$312,0)</f>
        <v>636397</v>
      </c>
      <c r="E157" s="61">
        <f>ROUND(VLOOKUP(A157,'Contribution Allocation_Report'!$A$9:$D$311,4,FALSE)*$E$312,0)</f>
        <v>512369</v>
      </c>
      <c r="J157" s="166">
        <v>9028</v>
      </c>
      <c r="K157" s="205">
        <f t="shared" si="2"/>
        <v>0</v>
      </c>
    </row>
    <row r="158" spans="1:11">
      <c r="A158" s="147">
        <v>17424</v>
      </c>
      <c r="B158" s="148" t="s">
        <v>148</v>
      </c>
      <c r="C158" s="60">
        <f>ROUND(VLOOKUP(A158,'Contribution Allocation_Report'!$A$9:$D$311,4,FALSE)*$C$312,0)</f>
        <v>1462799</v>
      </c>
      <c r="D158" s="60">
        <f>ROUND(VLOOKUP(A158,'Contribution Allocation_Report'!$A$9:$D$311,4,FALSE)*$D$312,0)</f>
        <v>1175469</v>
      </c>
      <c r="E158" s="60">
        <f>ROUND(VLOOKUP(A158,'Contribution Allocation_Report'!$A$9:$D$311,4,FALSE)*$E$312,0)</f>
        <v>946382</v>
      </c>
      <c r="J158" s="164">
        <v>17424</v>
      </c>
      <c r="K158" s="205">
        <f t="shared" si="2"/>
        <v>0</v>
      </c>
    </row>
    <row r="159" spans="1:11">
      <c r="A159" s="143">
        <v>3200</v>
      </c>
      <c r="B159" s="149" t="s">
        <v>149</v>
      </c>
      <c r="C159" s="61">
        <f>ROUND(VLOOKUP(A159,'Contribution Allocation_Report'!$A$9:$D$311,4,FALSE)*$C$312,0)</f>
        <v>5851679</v>
      </c>
      <c r="D159" s="61">
        <f>ROUND(VLOOKUP(A159,'Contribution Allocation_Report'!$A$9:$D$311,4,FALSE)*$D$312,0)</f>
        <v>4702264</v>
      </c>
      <c r="E159" s="61">
        <f>ROUND(VLOOKUP(A159,'Contribution Allocation_Report'!$A$9:$D$311,4,FALSE)*$E$312,0)</f>
        <v>3785837</v>
      </c>
      <c r="J159" s="166">
        <v>3200</v>
      </c>
      <c r="K159" s="205">
        <f t="shared" si="2"/>
        <v>0</v>
      </c>
    </row>
    <row r="160" spans="1:11">
      <c r="A160" s="147">
        <v>2365</v>
      </c>
      <c r="B160" s="148" t="s">
        <v>150</v>
      </c>
      <c r="C160" s="60">
        <f>ROUND(VLOOKUP(A160,'Contribution Allocation_Report'!$A$9:$D$311,4,FALSE)*$C$312,0)</f>
        <v>834037</v>
      </c>
      <c r="D160" s="60">
        <f>ROUND(VLOOKUP(A160,'Contribution Allocation_Report'!$A$9:$D$311,4,FALSE)*$D$312,0)</f>
        <v>670211</v>
      </c>
      <c r="E160" s="60">
        <f>ROUND(VLOOKUP(A160,'Contribution Allocation_Report'!$A$9:$D$311,4,FALSE)*$E$312,0)</f>
        <v>539593</v>
      </c>
      <c r="J160" s="164">
        <v>2365</v>
      </c>
      <c r="K160" s="205">
        <f t="shared" si="2"/>
        <v>0</v>
      </c>
    </row>
    <row r="161" spans="1:11">
      <c r="A161" s="143">
        <v>5014</v>
      </c>
      <c r="B161" s="149" t="s">
        <v>151</v>
      </c>
      <c r="C161" s="61">
        <f>ROUND(VLOOKUP(A161,'Contribution Allocation_Report'!$A$9:$D$311,4,FALSE)*$C$312,0)</f>
        <v>1169458</v>
      </c>
      <c r="D161" s="61">
        <f>ROUND(VLOOKUP(A161,'Contribution Allocation_Report'!$A$9:$D$311,4,FALSE)*$D$312,0)</f>
        <v>939747</v>
      </c>
      <c r="E161" s="61">
        <f>ROUND(VLOOKUP(A161,'Contribution Allocation_Report'!$A$9:$D$311,4,FALSE)*$E$312,0)</f>
        <v>756600</v>
      </c>
      <c r="J161" s="166">
        <v>5014</v>
      </c>
      <c r="K161" s="205">
        <f t="shared" si="2"/>
        <v>0</v>
      </c>
    </row>
    <row r="162" spans="1:11">
      <c r="A162" s="147">
        <v>17127</v>
      </c>
      <c r="B162" s="148" t="s">
        <v>152</v>
      </c>
      <c r="C162" s="60">
        <f>ROUND(VLOOKUP(A162,'Contribution Allocation_Report'!$A$9:$D$311,4,FALSE)*$C$312,0)</f>
        <v>1224167</v>
      </c>
      <c r="D162" s="60">
        <f>ROUND(VLOOKUP(A162,'Contribution Allocation_Report'!$A$9:$D$311,4,FALSE)*$D$312,0)</f>
        <v>983711</v>
      </c>
      <c r="E162" s="60">
        <f>ROUND(VLOOKUP(A162,'Contribution Allocation_Report'!$A$9:$D$311,4,FALSE)*$E$312,0)</f>
        <v>791995</v>
      </c>
      <c r="J162" s="164">
        <v>17127</v>
      </c>
      <c r="K162" s="205">
        <f t="shared" si="2"/>
        <v>0</v>
      </c>
    </row>
    <row r="163" spans="1:11">
      <c r="A163" s="143">
        <v>10141</v>
      </c>
      <c r="B163" s="149" t="s">
        <v>153</v>
      </c>
      <c r="C163" s="61">
        <f>ROUND(VLOOKUP(A163,'Contribution Allocation_Report'!$A$9:$D$311,4,FALSE)*$C$312,0)</f>
        <v>2266083</v>
      </c>
      <c r="D163" s="61">
        <f>ROUND(VLOOKUP(A163,'Contribution Allocation_Report'!$A$9:$D$311,4,FALSE)*$D$312,0)</f>
        <v>1820968</v>
      </c>
      <c r="E163" s="61">
        <f>ROUND(VLOOKUP(A163,'Contribution Allocation_Report'!$A$9:$D$311,4,FALSE)*$E$312,0)</f>
        <v>1466079</v>
      </c>
      <c r="J163" s="166">
        <v>10141</v>
      </c>
      <c r="K163" s="205">
        <f t="shared" si="2"/>
        <v>0</v>
      </c>
    </row>
    <row r="164" spans="1:11">
      <c r="A164" s="147">
        <v>4570</v>
      </c>
      <c r="B164" s="148" t="s">
        <v>412</v>
      </c>
      <c r="C164" s="60">
        <f>ROUND(VLOOKUP(A164,'Contribution Allocation_Report'!$A$9:$D$311,4,FALSE)*$C$312,0)</f>
        <v>4433678</v>
      </c>
      <c r="D164" s="60">
        <f>ROUND(VLOOKUP(A164,'Contribution Allocation_Report'!$A$9:$D$311,4,FALSE)*$D$312,0)</f>
        <v>3562794</v>
      </c>
      <c r="E164" s="60">
        <f>ROUND(VLOOKUP(A164,'Contribution Allocation_Report'!$A$9:$D$311,4,FALSE)*$E$312,0)</f>
        <v>2868439</v>
      </c>
      <c r="J164" s="166">
        <v>4570</v>
      </c>
      <c r="K164" s="205">
        <f t="shared" si="2"/>
        <v>0</v>
      </c>
    </row>
    <row r="165" spans="1:11">
      <c r="A165" s="143">
        <v>13369</v>
      </c>
      <c r="B165" s="149" t="s">
        <v>154</v>
      </c>
      <c r="C165" s="61">
        <f>ROUND(VLOOKUP(A165,'Contribution Allocation_Report'!$A$9:$D$311,4,FALSE)*$C$312,0)</f>
        <v>414824</v>
      </c>
      <c r="D165" s="61">
        <f>ROUND(VLOOKUP(A165,'Contribution Allocation_Report'!$A$9:$D$311,4,FALSE)*$D$312,0)</f>
        <v>333342</v>
      </c>
      <c r="E165" s="61">
        <f>ROUND(VLOOKUP(A165,'Contribution Allocation_Report'!$A$9:$D$311,4,FALSE)*$E$312,0)</f>
        <v>268377</v>
      </c>
      <c r="J165" s="164">
        <v>13369</v>
      </c>
      <c r="K165" s="205">
        <f t="shared" si="2"/>
        <v>0</v>
      </c>
    </row>
    <row r="166" spans="1:11">
      <c r="A166" s="147">
        <v>2425</v>
      </c>
      <c r="B166" s="148" t="s">
        <v>155</v>
      </c>
      <c r="C166" s="60">
        <f>ROUND(VLOOKUP(A166,'Contribution Allocation_Report'!$A$9:$D$311,4,FALSE)*$C$312,0)</f>
        <v>7262260</v>
      </c>
      <c r="D166" s="60">
        <f>ROUND(VLOOKUP(A166,'Contribution Allocation_Report'!$A$9:$D$311,4,FALSE)*$D$312,0)</f>
        <v>5835773</v>
      </c>
      <c r="E166" s="60">
        <f>ROUND(VLOOKUP(A166,'Contribution Allocation_Report'!$A$9:$D$311,4,FALSE)*$E$312,0)</f>
        <v>4698436</v>
      </c>
      <c r="J166" s="164">
        <v>2425</v>
      </c>
      <c r="K166" s="205">
        <f t="shared" si="2"/>
        <v>0</v>
      </c>
    </row>
    <row r="167" spans="1:11">
      <c r="A167" s="143">
        <v>1306</v>
      </c>
      <c r="B167" s="149" t="s">
        <v>156</v>
      </c>
      <c r="C167" s="61">
        <f>ROUND(VLOOKUP(A167,'Contribution Allocation_Report'!$A$9:$D$311,4,FALSE)*$C$312,0)</f>
        <v>1483839</v>
      </c>
      <c r="D167" s="61">
        <f>ROUND(VLOOKUP(A167,'Contribution Allocation_Report'!$A$9:$D$311,4,FALSE)*$D$312,0)</f>
        <v>1192377</v>
      </c>
      <c r="E167" s="61">
        <f>ROUND(VLOOKUP(A167,'Contribution Allocation_Report'!$A$9:$D$311,4,FALSE)*$E$312,0)</f>
        <v>959994</v>
      </c>
      <c r="J167" s="166">
        <v>1306</v>
      </c>
      <c r="K167" s="205">
        <f t="shared" si="2"/>
        <v>0</v>
      </c>
    </row>
    <row r="168" spans="1:11">
      <c r="A168" s="147">
        <v>2351</v>
      </c>
      <c r="B168" s="148" t="s">
        <v>157</v>
      </c>
      <c r="C168" s="60">
        <f>ROUND(VLOOKUP(A168,'Contribution Allocation_Report'!$A$9:$D$311,4,FALSE)*$C$312,0)</f>
        <v>1219099</v>
      </c>
      <c r="D168" s="60">
        <f>ROUND(VLOOKUP(A168,'Contribution Allocation_Report'!$A$9:$D$311,4,FALSE)*$D$312,0)</f>
        <v>979637</v>
      </c>
      <c r="E168" s="60">
        <f>ROUND(VLOOKUP(A168,'Contribution Allocation_Report'!$A$9:$D$311,4,FALSE)*$E$312,0)</f>
        <v>788715</v>
      </c>
      <c r="J168" s="164">
        <v>2351</v>
      </c>
      <c r="K168" s="205">
        <f t="shared" si="2"/>
        <v>0</v>
      </c>
    </row>
    <row r="169" spans="1:11">
      <c r="A169" s="143">
        <v>2334</v>
      </c>
      <c r="B169" s="149" t="s">
        <v>158</v>
      </c>
      <c r="C169" s="61">
        <f>ROUND(VLOOKUP(A169,'Contribution Allocation_Report'!$A$9:$D$311,4,FALSE)*$C$312,0)</f>
        <v>882743</v>
      </c>
      <c r="D169" s="61">
        <f>ROUND(VLOOKUP(A169,'Contribution Allocation_Report'!$A$9:$D$311,4,FALSE)*$D$312,0)</f>
        <v>709350</v>
      </c>
      <c r="E169" s="61">
        <f>ROUND(VLOOKUP(A169,'Contribution Allocation_Report'!$A$9:$D$311,4,FALSE)*$E$312,0)</f>
        <v>571105</v>
      </c>
      <c r="J169" s="166">
        <v>2334</v>
      </c>
      <c r="K169" s="205">
        <f t="shared" si="2"/>
        <v>0</v>
      </c>
    </row>
    <row r="170" spans="1:11">
      <c r="A170" s="147">
        <v>30089</v>
      </c>
      <c r="B170" s="148" t="s">
        <v>159</v>
      </c>
      <c r="C170" s="60">
        <f>ROUND(VLOOKUP(A170,'Contribution Allocation_Report'!$A$9:$D$311,4,FALSE)*$C$312,0)</f>
        <v>2553138</v>
      </c>
      <c r="D170" s="60">
        <f>ROUND(VLOOKUP(A170,'Contribution Allocation_Report'!$A$9:$D$311,4,FALSE)*$D$312,0)</f>
        <v>2051639</v>
      </c>
      <c r="E170" s="60">
        <f>ROUND(VLOOKUP(A170,'Contribution Allocation_Report'!$A$9:$D$311,4,FALSE)*$E$312,0)</f>
        <v>1651794</v>
      </c>
      <c r="J170" s="164">
        <v>30089</v>
      </c>
      <c r="K170" s="205">
        <f t="shared" si="2"/>
        <v>0</v>
      </c>
    </row>
    <row r="171" spans="1:11">
      <c r="A171" s="143">
        <v>9324</v>
      </c>
      <c r="B171" s="149" t="s">
        <v>160</v>
      </c>
      <c r="C171" s="61">
        <f>ROUND(VLOOKUP(A171,'Contribution Allocation_Report'!$A$9:$D$311,4,FALSE)*$C$312,0)</f>
        <v>306311</v>
      </c>
      <c r="D171" s="61">
        <f>ROUND(VLOOKUP(A171,'Contribution Allocation_Report'!$A$9:$D$311,4,FALSE)*$D$312,0)</f>
        <v>246144</v>
      </c>
      <c r="E171" s="61">
        <f>ROUND(VLOOKUP(A171,'Contribution Allocation_Report'!$A$9:$D$311,4,FALSE)*$E$312,0)</f>
        <v>198173</v>
      </c>
      <c r="J171" s="166">
        <v>9324</v>
      </c>
      <c r="K171" s="205">
        <f t="shared" si="2"/>
        <v>0</v>
      </c>
    </row>
    <row r="172" spans="1:11">
      <c r="A172" s="147">
        <v>22066</v>
      </c>
      <c r="B172" s="148" t="s">
        <v>161</v>
      </c>
      <c r="C172" s="60">
        <f>ROUND(VLOOKUP(A172,'Contribution Allocation_Report'!$A$9:$D$311,4,FALSE)*$C$312,0)</f>
        <v>8946135</v>
      </c>
      <c r="D172" s="60">
        <f>ROUND(VLOOKUP(A172,'Contribution Allocation_Report'!$A$9:$D$311,4,FALSE)*$D$312,0)</f>
        <v>7188893</v>
      </c>
      <c r="E172" s="60">
        <f>ROUND(VLOOKUP(A172,'Contribution Allocation_Report'!$A$9:$D$311,4,FALSE)*$E$312,0)</f>
        <v>5787846</v>
      </c>
      <c r="J172" s="164">
        <v>22066</v>
      </c>
      <c r="K172" s="205">
        <f t="shared" si="2"/>
        <v>0</v>
      </c>
    </row>
    <row r="173" spans="1:11">
      <c r="A173" s="143">
        <v>16356</v>
      </c>
      <c r="B173" s="149" t="s">
        <v>162</v>
      </c>
      <c r="C173" s="61">
        <f>ROUND(VLOOKUP(A173,'Contribution Allocation_Report'!$A$9:$D$311,4,FALSE)*$C$312,0)</f>
        <v>552815</v>
      </c>
      <c r="D173" s="61">
        <f>ROUND(VLOOKUP(A173,'Contribution Allocation_Report'!$A$9:$D$311,4,FALSE)*$D$312,0)</f>
        <v>444229</v>
      </c>
      <c r="E173" s="61">
        <f>ROUND(VLOOKUP(A173,'Contribution Allocation_Report'!$A$9:$D$311,4,FALSE)*$E$312,0)</f>
        <v>357653</v>
      </c>
      <c r="J173" s="166">
        <v>16356</v>
      </c>
      <c r="K173" s="205">
        <f t="shared" si="2"/>
        <v>0</v>
      </c>
    </row>
    <row r="174" spans="1:11">
      <c r="A174" s="147">
        <v>31091</v>
      </c>
      <c r="B174" s="148" t="s">
        <v>163</v>
      </c>
      <c r="C174" s="60">
        <f>ROUND(VLOOKUP(A174,'Contribution Allocation_Report'!$A$9:$D$311,4,FALSE)*$C$312,0)</f>
        <v>519429</v>
      </c>
      <c r="D174" s="60">
        <f>ROUND(VLOOKUP(A174,'Contribution Allocation_Report'!$A$9:$D$311,4,FALSE)*$D$312,0)</f>
        <v>417400</v>
      </c>
      <c r="E174" s="60">
        <f>ROUND(VLOOKUP(A174,'Contribution Allocation_Report'!$A$9:$D$311,4,FALSE)*$E$312,0)</f>
        <v>336053</v>
      </c>
      <c r="J174" s="164">
        <v>31091</v>
      </c>
      <c r="K174" s="205">
        <f t="shared" si="2"/>
        <v>0</v>
      </c>
    </row>
    <row r="175" spans="1:11">
      <c r="A175" s="143">
        <v>2342</v>
      </c>
      <c r="B175" s="149" t="s">
        <v>164</v>
      </c>
      <c r="C175" s="61">
        <f>ROUND(VLOOKUP(A175,'Contribution Allocation_Report'!$A$9:$D$311,4,FALSE)*$C$312,0)</f>
        <v>923124</v>
      </c>
      <c r="D175" s="61">
        <f>ROUND(VLOOKUP(A175,'Contribution Allocation_Report'!$A$9:$D$311,4,FALSE)*$D$312,0)</f>
        <v>741799</v>
      </c>
      <c r="E175" s="61">
        <f>ROUND(VLOOKUP(A175,'Contribution Allocation_Report'!$A$9:$D$311,4,FALSE)*$E$312,0)</f>
        <v>597230</v>
      </c>
      <c r="J175" s="166">
        <v>2342</v>
      </c>
      <c r="K175" s="205">
        <f t="shared" si="2"/>
        <v>0</v>
      </c>
    </row>
    <row r="176" spans="1:11">
      <c r="A176" s="147">
        <v>22067</v>
      </c>
      <c r="B176" s="148" t="s">
        <v>165</v>
      </c>
      <c r="C176" s="60">
        <f>ROUND(VLOOKUP(A176,'Contribution Allocation_Report'!$A$9:$D$311,4,FALSE)*$C$312,0)</f>
        <v>1333671</v>
      </c>
      <c r="D176" s="60">
        <f>ROUND(VLOOKUP(A176,'Contribution Allocation_Report'!$A$9:$D$311,4,FALSE)*$D$312,0)</f>
        <v>1071705</v>
      </c>
      <c r="E176" s="60">
        <f>ROUND(VLOOKUP(A176,'Contribution Allocation_Report'!$A$9:$D$311,4,FALSE)*$E$312,0)</f>
        <v>862840</v>
      </c>
      <c r="J176" s="164">
        <v>22067</v>
      </c>
      <c r="K176" s="205">
        <f t="shared" si="2"/>
        <v>0</v>
      </c>
    </row>
    <row r="177" spans="1:11">
      <c r="A177" s="143">
        <v>32112</v>
      </c>
      <c r="B177" s="149" t="s">
        <v>166</v>
      </c>
      <c r="C177" s="61">
        <f>ROUND(VLOOKUP(A177,'Contribution Allocation_Report'!$A$9:$D$311,4,FALSE)*$C$312,0)</f>
        <v>703549</v>
      </c>
      <c r="D177" s="61">
        <f>ROUND(VLOOKUP(A177,'Contribution Allocation_Report'!$A$9:$D$311,4,FALSE)*$D$312,0)</f>
        <v>565355</v>
      </c>
      <c r="E177" s="61">
        <f>ROUND(VLOOKUP(A177,'Contribution Allocation_Report'!$A$9:$D$311,4,FALSE)*$E$312,0)</f>
        <v>455173</v>
      </c>
      <c r="J177" s="166">
        <v>32112</v>
      </c>
      <c r="K177" s="205">
        <f t="shared" si="2"/>
        <v>0</v>
      </c>
    </row>
    <row r="178" spans="1:11">
      <c r="A178" s="147">
        <v>2354</v>
      </c>
      <c r="B178" s="148" t="s">
        <v>167</v>
      </c>
      <c r="C178" s="60">
        <f>ROUND(VLOOKUP(A178,'Contribution Allocation_Report'!$A$9:$D$311,4,FALSE)*$C$312,0)</f>
        <v>2249999</v>
      </c>
      <c r="D178" s="60">
        <f>ROUND(VLOOKUP(A178,'Contribution Allocation_Report'!$A$9:$D$311,4,FALSE)*$D$312,0)</f>
        <v>1808043</v>
      </c>
      <c r="E178" s="60">
        <f>ROUND(VLOOKUP(A178,'Contribution Allocation_Report'!$A$9:$D$311,4,FALSE)*$E$312,0)</f>
        <v>1455673</v>
      </c>
      <c r="J178" s="164">
        <v>2354</v>
      </c>
      <c r="K178" s="205">
        <f t="shared" si="2"/>
        <v>0</v>
      </c>
    </row>
    <row r="179" spans="1:11">
      <c r="A179" s="143">
        <v>2148</v>
      </c>
      <c r="B179" s="149" t="s">
        <v>168</v>
      </c>
      <c r="C179" s="61">
        <f>ROUND(VLOOKUP(A179,'Contribution Allocation_Report'!$A$9:$D$311,4,FALSE)*$C$312,0)</f>
        <v>675260</v>
      </c>
      <c r="D179" s="61">
        <f>ROUND(VLOOKUP(A179,'Contribution Allocation_Report'!$A$9:$D$311,4,FALSE)*$D$312,0)</f>
        <v>542622</v>
      </c>
      <c r="E179" s="61">
        <f>ROUND(VLOOKUP(A179,'Contribution Allocation_Report'!$A$9:$D$311,4,FALSE)*$E$312,0)</f>
        <v>436870</v>
      </c>
      <c r="J179" s="166">
        <v>2148</v>
      </c>
      <c r="K179" s="205">
        <f t="shared" si="2"/>
        <v>0</v>
      </c>
    </row>
    <row r="180" spans="1:11">
      <c r="A180" s="147">
        <v>1418</v>
      </c>
      <c r="B180" s="148" t="s">
        <v>169</v>
      </c>
      <c r="C180" s="60">
        <f>ROUND(VLOOKUP(A180,'Contribution Allocation_Report'!$A$9:$D$311,4,FALSE)*$C$312,0)</f>
        <v>2821192</v>
      </c>
      <c r="D180" s="60">
        <f>ROUND(VLOOKUP(A180,'Contribution Allocation_Report'!$A$9:$D$311,4,FALSE)*$D$312,0)</f>
        <v>2267040</v>
      </c>
      <c r="E180" s="60">
        <f>ROUND(VLOOKUP(A180,'Contribution Allocation_Report'!$A$9:$D$311,4,FALSE)*$E$312,0)</f>
        <v>1825215</v>
      </c>
      <c r="J180" s="164">
        <v>1418</v>
      </c>
      <c r="K180" s="205">
        <f t="shared" si="2"/>
        <v>0</v>
      </c>
    </row>
    <row r="181" spans="1:11">
      <c r="A181" s="143">
        <v>12102</v>
      </c>
      <c r="B181" s="149" t="s">
        <v>170</v>
      </c>
      <c r="C181" s="61">
        <f>ROUND(VLOOKUP(A181,'Contribution Allocation_Report'!$A$9:$D$311,4,FALSE)*$C$312,0)</f>
        <v>15829337</v>
      </c>
      <c r="D181" s="61">
        <f>ROUND(VLOOKUP(A181,'Contribution Allocation_Report'!$A$9:$D$311,4,FALSE)*$D$312,0)</f>
        <v>12720064</v>
      </c>
      <c r="E181" s="61">
        <f>ROUND(VLOOKUP(A181,'Contribution Allocation_Report'!$A$9:$D$311,4,FALSE)*$E$312,0)</f>
        <v>10241044</v>
      </c>
      <c r="J181" s="166">
        <v>12102</v>
      </c>
      <c r="K181" s="205">
        <f t="shared" si="2"/>
        <v>0</v>
      </c>
    </row>
    <row r="182" spans="1:11">
      <c r="A182" s="147">
        <v>2414</v>
      </c>
      <c r="B182" s="148" t="s">
        <v>171</v>
      </c>
      <c r="C182" s="60">
        <f>ROUND(VLOOKUP(A182,'Contribution Allocation_Report'!$A$9:$D$311,4,FALSE)*$C$312,0)</f>
        <v>1338542</v>
      </c>
      <c r="D182" s="60">
        <f>ROUND(VLOOKUP(A182,'Contribution Allocation_Report'!$A$9:$D$311,4,FALSE)*$D$312,0)</f>
        <v>1075619</v>
      </c>
      <c r="E182" s="60">
        <f>ROUND(VLOOKUP(A182,'Contribution Allocation_Report'!$A$9:$D$311,4,FALSE)*$E$312,0)</f>
        <v>865991</v>
      </c>
      <c r="J182" s="164">
        <v>2414</v>
      </c>
      <c r="K182" s="205">
        <f t="shared" si="2"/>
        <v>0</v>
      </c>
    </row>
    <row r="183" spans="1:11">
      <c r="A183" s="143">
        <v>6124</v>
      </c>
      <c r="B183" s="149" t="s">
        <v>172</v>
      </c>
      <c r="C183" s="61">
        <f>ROUND(VLOOKUP(A183,'Contribution Allocation_Report'!$A$9:$D$311,4,FALSE)*$C$312,0)</f>
        <v>7004627</v>
      </c>
      <c r="D183" s="61">
        <f>ROUND(VLOOKUP(A183,'Contribution Allocation_Report'!$A$9:$D$311,4,FALSE)*$D$312,0)</f>
        <v>5628746</v>
      </c>
      <c r="E183" s="61">
        <f>ROUND(VLOOKUP(A183,'Contribution Allocation_Report'!$A$9:$D$311,4,FALSE)*$E$312,0)</f>
        <v>4531756</v>
      </c>
      <c r="J183" s="166">
        <v>6124</v>
      </c>
      <c r="K183" s="205">
        <f t="shared" si="2"/>
        <v>0</v>
      </c>
    </row>
    <row r="184" spans="1:11">
      <c r="A184" s="147">
        <v>4097</v>
      </c>
      <c r="B184" s="148" t="s">
        <v>173</v>
      </c>
      <c r="C184" s="60">
        <f>ROUND(VLOOKUP(A184,'Contribution Allocation_Report'!$A$9:$D$311,4,FALSE)*$C$312,0)</f>
        <v>8427414</v>
      </c>
      <c r="D184" s="60">
        <f>ROUND(VLOOKUP(A184,'Contribution Allocation_Report'!$A$9:$D$311,4,FALSE)*$D$312,0)</f>
        <v>6772062</v>
      </c>
      <c r="E184" s="60">
        <f>ROUND(VLOOKUP(A184,'Contribution Allocation_Report'!$A$9:$D$311,4,FALSE)*$E$312,0)</f>
        <v>5452251</v>
      </c>
      <c r="J184" s="164">
        <v>4097</v>
      </c>
      <c r="K184" s="205">
        <f t="shared" si="2"/>
        <v>0</v>
      </c>
    </row>
    <row r="185" spans="1:11">
      <c r="A185" s="143">
        <v>1416</v>
      </c>
      <c r="B185" s="149" t="s">
        <v>174</v>
      </c>
      <c r="C185" s="61">
        <f>ROUND(VLOOKUP(A185,'Contribution Allocation_Report'!$A$9:$D$311,4,FALSE)*$C$312,0)</f>
        <v>1094869</v>
      </c>
      <c r="D185" s="61">
        <f>ROUND(VLOOKUP(A185,'Contribution Allocation_Report'!$A$9:$D$311,4,FALSE)*$D$312,0)</f>
        <v>879810</v>
      </c>
      <c r="E185" s="61">
        <f>ROUND(VLOOKUP(A185,'Contribution Allocation_Report'!$A$9:$D$311,4,FALSE)*$E$312,0)</f>
        <v>708343</v>
      </c>
      <c r="J185" s="166">
        <v>1416</v>
      </c>
      <c r="K185" s="205">
        <f t="shared" si="2"/>
        <v>0</v>
      </c>
    </row>
    <row r="186" spans="1:11">
      <c r="A186" s="147">
        <v>1094</v>
      </c>
      <c r="B186" s="148" t="s">
        <v>175</v>
      </c>
      <c r="C186" s="60">
        <f>ROUND(VLOOKUP(A186,'Contribution Allocation_Report'!$A$9:$D$311,4,FALSE)*$C$312,0)</f>
        <v>5925191</v>
      </c>
      <c r="D186" s="60">
        <f>ROUND(VLOOKUP(A186,'Contribution Allocation_Report'!$A$9:$D$311,4,FALSE)*$D$312,0)</f>
        <v>4761337</v>
      </c>
      <c r="E186" s="60">
        <f>ROUND(VLOOKUP(A186,'Contribution Allocation_Report'!$A$9:$D$311,4,FALSE)*$E$312,0)</f>
        <v>3833397</v>
      </c>
      <c r="J186" s="164">
        <v>1094</v>
      </c>
      <c r="K186" s="205">
        <f t="shared" si="2"/>
        <v>0</v>
      </c>
    </row>
    <row r="187" spans="1:11">
      <c r="A187" s="143">
        <v>32111</v>
      </c>
      <c r="B187" s="149" t="s">
        <v>176</v>
      </c>
      <c r="C187" s="61">
        <f>ROUND(VLOOKUP(A187,'Contribution Allocation_Report'!$A$9:$D$311,4,FALSE)*$C$312,0)</f>
        <v>5943371</v>
      </c>
      <c r="D187" s="61">
        <f>ROUND(VLOOKUP(A187,'Contribution Allocation_Report'!$A$9:$D$311,4,FALSE)*$D$312,0)</f>
        <v>4775946</v>
      </c>
      <c r="E187" s="61">
        <f>ROUND(VLOOKUP(A187,'Contribution Allocation_Report'!$A$9:$D$311,4,FALSE)*$E$312,0)</f>
        <v>3845159</v>
      </c>
      <c r="J187" s="166">
        <v>32111</v>
      </c>
      <c r="K187" s="205">
        <f t="shared" si="2"/>
        <v>0</v>
      </c>
    </row>
    <row r="188" spans="1:11">
      <c r="A188" s="147">
        <v>2520</v>
      </c>
      <c r="B188" s="148" t="s">
        <v>177</v>
      </c>
      <c r="C188" s="60">
        <f>ROUND(VLOOKUP(A188,'Contribution Allocation_Report'!$A$9:$D$311,4,FALSE)*$C$312,0)</f>
        <v>894834</v>
      </c>
      <c r="D188" s="60">
        <f>ROUND(VLOOKUP(A188,'Contribution Allocation_Report'!$A$9:$D$311,4,FALSE)*$D$312,0)</f>
        <v>719067</v>
      </c>
      <c r="E188" s="60">
        <f>ROUND(VLOOKUP(A188,'Contribution Allocation_Report'!$A$9:$D$311,4,FALSE)*$E$312,0)</f>
        <v>578927</v>
      </c>
      <c r="J188" s="164">
        <v>2520</v>
      </c>
      <c r="K188" s="205">
        <f t="shared" si="2"/>
        <v>0</v>
      </c>
    </row>
    <row r="189" spans="1:11">
      <c r="A189" s="143">
        <v>3450</v>
      </c>
      <c r="B189" s="149" t="s">
        <v>178</v>
      </c>
      <c r="C189" s="61">
        <f>ROUND(VLOOKUP(A189,'Contribution Allocation_Report'!$A$9:$D$311,4,FALSE)*$C$312,0)</f>
        <v>1601584</v>
      </c>
      <c r="D189" s="61">
        <f>ROUND(VLOOKUP(A189,'Contribution Allocation_Report'!$A$9:$D$311,4,FALSE)*$D$312,0)</f>
        <v>1286993</v>
      </c>
      <c r="E189" s="61">
        <f>ROUND(VLOOKUP(A189,'Contribution Allocation_Report'!$A$9:$D$311,4,FALSE)*$E$312,0)</f>
        <v>1036170</v>
      </c>
      <c r="J189" s="166">
        <v>3450</v>
      </c>
      <c r="K189" s="205">
        <f t="shared" si="2"/>
        <v>0</v>
      </c>
    </row>
    <row r="190" spans="1:11">
      <c r="A190" s="147">
        <v>4310</v>
      </c>
      <c r="B190" s="148" t="s">
        <v>179</v>
      </c>
      <c r="C190" s="60">
        <f>ROUND(VLOOKUP(A190,'Contribution Allocation_Report'!$A$9:$D$311,4,FALSE)*$C$312,0)</f>
        <v>843891</v>
      </c>
      <c r="D190" s="60">
        <f>ROUND(VLOOKUP(A190,'Contribution Allocation_Report'!$A$9:$D$311,4,FALSE)*$D$312,0)</f>
        <v>678130</v>
      </c>
      <c r="E190" s="60">
        <f>ROUND(VLOOKUP(A190,'Contribution Allocation_Report'!$A$9:$D$311,4,FALSE)*$E$312,0)</f>
        <v>545969</v>
      </c>
      <c r="J190" s="164">
        <v>4310</v>
      </c>
      <c r="K190" s="205">
        <f t="shared" si="2"/>
        <v>0</v>
      </c>
    </row>
    <row r="191" spans="1:11">
      <c r="A191" s="143">
        <v>2328</v>
      </c>
      <c r="B191" s="149" t="s">
        <v>180</v>
      </c>
      <c r="C191" s="61">
        <f>ROUND(VLOOKUP(A191,'Contribution Allocation_Report'!$A$9:$D$311,4,FALSE)*$C$312,0)</f>
        <v>1586009</v>
      </c>
      <c r="D191" s="61">
        <f>ROUND(VLOOKUP(A191,'Contribution Allocation_Report'!$A$9:$D$311,4,FALSE)*$D$312,0)</f>
        <v>1274478</v>
      </c>
      <c r="E191" s="61">
        <f>ROUND(VLOOKUP(A191,'Contribution Allocation_Report'!$A$9:$D$311,4,FALSE)*$E$312,0)</f>
        <v>1026094</v>
      </c>
      <c r="J191" s="166">
        <v>2328</v>
      </c>
      <c r="K191" s="205">
        <f t="shared" si="2"/>
        <v>0</v>
      </c>
    </row>
    <row r="192" spans="1:11">
      <c r="A192" s="147">
        <v>12151</v>
      </c>
      <c r="B192" s="148" t="s">
        <v>181</v>
      </c>
      <c r="C192" s="60">
        <f>ROUND(VLOOKUP(A192,'Contribution Allocation_Report'!$A$9:$D$311,4,FALSE)*$C$312,0)</f>
        <v>466616</v>
      </c>
      <c r="D192" s="60">
        <f>ROUND(VLOOKUP(A192,'Contribution Allocation_Report'!$A$9:$D$311,4,FALSE)*$D$312,0)</f>
        <v>374961</v>
      </c>
      <c r="E192" s="60">
        <f>ROUND(VLOOKUP(A192,'Contribution Allocation_Report'!$A$9:$D$311,4,FALSE)*$E$312,0)</f>
        <v>301885</v>
      </c>
      <c r="J192" s="164">
        <v>12151</v>
      </c>
      <c r="K192" s="205">
        <f t="shared" si="2"/>
        <v>0</v>
      </c>
    </row>
    <row r="193" spans="1:11">
      <c r="A193" s="143">
        <v>32110</v>
      </c>
      <c r="B193" s="149" t="s">
        <v>182</v>
      </c>
      <c r="C193" s="61">
        <f>ROUND(VLOOKUP(A193,'Contribution Allocation_Report'!$A$9:$D$311,4,FALSE)*$C$312,0)</f>
        <v>5598350</v>
      </c>
      <c r="D193" s="61">
        <f>ROUND(VLOOKUP(A193,'Contribution Allocation_Report'!$A$9:$D$311,4,FALSE)*$D$312,0)</f>
        <v>4498696</v>
      </c>
      <c r="E193" s="61">
        <f>ROUND(VLOOKUP(A193,'Contribution Allocation_Report'!$A$9:$D$311,4,FALSE)*$E$312,0)</f>
        <v>3621942</v>
      </c>
      <c r="J193" s="166">
        <v>32110</v>
      </c>
      <c r="K193" s="205">
        <f t="shared" si="2"/>
        <v>0</v>
      </c>
    </row>
    <row r="194" spans="1:11">
      <c r="A194" s="147">
        <v>2870</v>
      </c>
      <c r="B194" s="148" t="s">
        <v>184</v>
      </c>
      <c r="C194" s="60">
        <f>ROUND(VLOOKUP(A194,'Contribution Allocation_Report'!$A$9:$D$311,4,FALSE)*$C$312,0)</f>
        <v>979391</v>
      </c>
      <c r="D194" s="60">
        <f>ROUND(VLOOKUP(A194,'Contribution Allocation_Report'!$A$9:$D$311,4,FALSE)*$D$312,0)</f>
        <v>787014</v>
      </c>
      <c r="E194" s="60">
        <f>ROUND(VLOOKUP(A194,'Contribution Allocation_Report'!$A$9:$D$311,4,FALSE)*$E$312,0)</f>
        <v>633632</v>
      </c>
      <c r="J194" s="164">
        <v>2870</v>
      </c>
      <c r="K194" s="205">
        <f t="shared" si="2"/>
        <v>0</v>
      </c>
    </row>
    <row r="195" spans="1:11">
      <c r="A195" s="143">
        <v>29150</v>
      </c>
      <c r="B195" s="149" t="s">
        <v>185</v>
      </c>
      <c r="C195" s="61">
        <f>ROUND(VLOOKUP(A195,'Contribution Allocation_Report'!$A$9:$D$311,4,FALSE)*$C$312,0)</f>
        <v>247156</v>
      </c>
      <c r="D195" s="61">
        <f>ROUND(VLOOKUP(A195,'Contribution Allocation_Report'!$A$9:$D$311,4,FALSE)*$D$312,0)</f>
        <v>198608</v>
      </c>
      <c r="E195" s="61">
        <f>ROUND(VLOOKUP(A195,'Contribution Allocation_Report'!$A$9:$D$311,4,FALSE)*$E$312,0)</f>
        <v>159901</v>
      </c>
      <c r="J195" s="166">
        <v>29150</v>
      </c>
      <c r="K195" s="205">
        <f t="shared" si="2"/>
        <v>0</v>
      </c>
    </row>
    <row r="196" spans="1:11">
      <c r="A196" s="147">
        <v>32118</v>
      </c>
      <c r="B196" s="148" t="s">
        <v>187</v>
      </c>
      <c r="C196" s="60">
        <f>ROUND(VLOOKUP(A196,'Contribution Allocation_Report'!$A$9:$D$311,4,FALSE)*$C$312,0)</f>
        <v>2968726</v>
      </c>
      <c r="D196" s="60">
        <f>ROUND(VLOOKUP(A196,'Contribution Allocation_Report'!$A$9:$D$311,4,FALSE)*$D$312,0)</f>
        <v>2385595</v>
      </c>
      <c r="E196" s="60">
        <f>ROUND(VLOOKUP(A196,'Contribution Allocation_Report'!$A$9:$D$311,4,FALSE)*$E$312,0)</f>
        <v>1920665</v>
      </c>
      <c r="J196" s="164">
        <v>32118</v>
      </c>
      <c r="K196" s="205">
        <f t="shared" si="2"/>
        <v>0</v>
      </c>
    </row>
    <row r="197" spans="1:11">
      <c r="A197" s="143">
        <v>12039</v>
      </c>
      <c r="B197" s="149" t="s">
        <v>188</v>
      </c>
      <c r="C197" s="61">
        <f>ROUND(VLOOKUP(A197,'Contribution Allocation_Report'!$A$9:$D$311,4,FALSE)*$C$312,0)</f>
        <v>2500751</v>
      </c>
      <c r="D197" s="61">
        <f>ROUND(VLOOKUP(A197,'Contribution Allocation_Report'!$A$9:$D$311,4,FALSE)*$D$312,0)</f>
        <v>2009541</v>
      </c>
      <c r="E197" s="61">
        <f>ROUND(VLOOKUP(A197,'Contribution Allocation_Report'!$A$9:$D$311,4,FALSE)*$E$312,0)</f>
        <v>1617901</v>
      </c>
      <c r="J197" s="166">
        <v>12039</v>
      </c>
      <c r="K197" s="205">
        <f t="shared" si="2"/>
        <v>0</v>
      </c>
    </row>
    <row r="198" spans="1:11">
      <c r="A198" s="147">
        <v>12150</v>
      </c>
      <c r="B198" s="148" t="s">
        <v>189</v>
      </c>
      <c r="C198" s="60">
        <f>ROUND(VLOOKUP(A198,'Contribution Allocation_Report'!$A$9:$D$311,4,FALSE)*$C$312,0)</f>
        <v>467523</v>
      </c>
      <c r="D198" s="60">
        <f>ROUND(VLOOKUP(A198,'Contribution Allocation_Report'!$A$9:$D$311,4,FALSE)*$D$312,0)</f>
        <v>375690</v>
      </c>
      <c r="E198" s="60">
        <f>ROUND(VLOOKUP(A198,'Contribution Allocation_Report'!$A$9:$D$311,4,FALSE)*$E$312,0)</f>
        <v>302471</v>
      </c>
      <c r="J198" s="164">
        <v>12150</v>
      </c>
      <c r="K198" s="205">
        <f t="shared" si="2"/>
        <v>0</v>
      </c>
    </row>
    <row r="199" spans="1:11">
      <c r="A199" s="143">
        <v>20060</v>
      </c>
      <c r="B199" s="149" t="s">
        <v>190</v>
      </c>
      <c r="C199" s="61">
        <f>ROUND(VLOOKUP(A199,'Contribution Allocation_Report'!$A$9:$D$311,4,FALSE)*$C$312,0)</f>
        <v>1907611</v>
      </c>
      <c r="D199" s="61">
        <f>ROUND(VLOOKUP(A199,'Contribution Allocation_Report'!$A$9:$D$311,4,FALSE)*$D$312,0)</f>
        <v>1532909</v>
      </c>
      <c r="E199" s="61">
        <f>ROUND(VLOOKUP(A199,'Contribution Allocation_Report'!$A$9:$D$311,4,FALSE)*$E$312,0)</f>
        <v>1234160</v>
      </c>
      <c r="J199" s="166">
        <v>20060</v>
      </c>
      <c r="K199" s="205">
        <f t="shared" si="2"/>
        <v>0</v>
      </c>
    </row>
    <row r="200" spans="1:11">
      <c r="A200" s="147">
        <v>1001</v>
      </c>
      <c r="B200" s="148" t="s">
        <v>191</v>
      </c>
      <c r="C200" s="60">
        <f>ROUND(VLOOKUP(A200,'Contribution Allocation_Report'!$A$9:$D$311,4,FALSE)*$C$312,0)</f>
        <v>5573204</v>
      </c>
      <c r="D200" s="60">
        <f>ROUND(VLOOKUP(A200,'Contribution Allocation_Report'!$A$9:$D$311,4,FALSE)*$D$312,0)</f>
        <v>4478489</v>
      </c>
      <c r="E200" s="60">
        <f>ROUND(VLOOKUP(A200,'Contribution Allocation_Report'!$A$9:$D$311,4,FALSE)*$E$312,0)</f>
        <v>3605674</v>
      </c>
      <c r="J200" s="164">
        <v>1001</v>
      </c>
      <c r="K200" s="205">
        <f t="shared" si="2"/>
        <v>0</v>
      </c>
    </row>
    <row r="201" spans="1:11">
      <c r="A201" s="143">
        <v>11035</v>
      </c>
      <c r="B201" s="149" t="s">
        <v>192</v>
      </c>
      <c r="C201" s="61">
        <f>ROUND(VLOOKUP(A201,'Contribution Allocation_Report'!$A$9:$D$311,4,FALSE)*$C$312,0)</f>
        <v>11231021</v>
      </c>
      <c r="D201" s="61">
        <f>ROUND(VLOOKUP(A201,'Contribution Allocation_Report'!$A$9:$D$311,4,FALSE)*$D$312,0)</f>
        <v>9024971</v>
      </c>
      <c r="E201" s="61">
        <f>ROUND(VLOOKUP(A201,'Contribution Allocation_Report'!$A$9:$D$311,4,FALSE)*$E$312,0)</f>
        <v>7266089</v>
      </c>
      <c r="J201" s="166">
        <v>11035</v>
      </c>
      <c r="K201" s="205">
        <f t="shared" si="2"/>
        <v>0</v>
      </c>
    </row>
    <row r="202" spans="1:11">
      <c r="A202" s="147">
        <v>2320</v>
      </c>
      <c r="B202" s="148" t="s">
        <v>193</v>
      </c>
      <c r="C202" s="60">
        <f>ROUND(VLOOKUP(A202,'Contribution Allocation_Report'!$A$9:$D$311,4,FALSE)*$C$312,0)</f>
        <v>1304646</v>
      </c>
      <c r="D202" s="60">
        <f>ROUND(VLOOKUP(A202,'Contribution Allocation_Report'!$A$9:$D$311,4,FALSE)*$D$312,0)</f>
        <v>1048381</v>
      </c>
      <c r="E202" s="60">
        <f>ROUND(VLOOKUP(A202,'Contribution Allocation_Report'!$A$9:$D$311,4,FALSE)*$E$312,0)</f>
        <v>844062</v>
      </c>
      <c r="J202" s="164">
        <v>2320</v>
      </c>
      <c r="K202" s="205">
        <f t="shared" si="2"/>
        <v>0</v>
      </c>
    </row>
    <row r="203" spans="1:11">
      <c r="A203" s="143">
        <v>28084</v>
      </c>
      <c r="B203" s="149" t="s">
        <v>194</v>
      </c>
      <c r="C203" s="61">
        <f>ROUND(VLOOKUP(A203,'Contribution Allocation_Report'!$A$9:$D$311,4,FALSE)*$C$312,0)</f>
        <v>1117637</v>
      </c>
      <c r="D203" s="61">
        <f>ROUND(VLOOKUP(A203,'Contribution Allocation_Report'!$A$9:$D$311,4,FALSE)*$D$312,0)</f>
        <v>898105</v>
      </c>
      <c r="E203" s="61">
        <f>ROUND(VLOOKUP(A203,'Contribution Allocation_Report'!$A$9:$D$311,4,FALSE)*$E$312,0)</f>
        <v>723073</v>
      </c>
      <c r="J203" s="166">
        <v>28084</v>
      </c>
      <c r="K203" s="205">
        <f t="shared" ref="K203:K267" si="3">+A203-J203</f>
        <v>0</v>
      </c>
    </row>
    <row r="204" spans="1:11">
      <c r="A204" s="147">
        <v>20125</v>
      </c>
      <c r="B204" s="148" t="s">
        <v>195</v>
      </c>
      <c r="C204" s="60">
        <f>ROUND(VLOOKUP(A204,'Contribution Allocation_Report'!$A$9:$D$311,4,FALSE)*$C$312,0)</f>
        <v>1393846</v>
      </c>
      <c r="D204" s="60">
        <f>ROUND(VLOOKUP(A204,'Contribution Allocation_Report'!$A$9:$D$311,4,FALSE)*$D$312,0)</f>
        <v>1120060</v>
      </c>
      <c r="E204" s="60">
        <f>ROUND(VLOOKUP(A204,'Contribution Allocation_Report'!$A$9:$D$311,4,FALSE)*$E$312,0)</f>
        <v>901771</v>
      </c>
      <c r="J204" s="164">
        <v>20125</v>
      </c>
      <c r="K204" s="205">
        <f t="shared" si="3"/>
        <v>0</v>
      </c>
    </row>
    <row r="205" spans="1:11">
      <c r="A205" s="143">
        <v>7445</v>
      </c>
      <c r="B205" s="149" t="s">
        <v>428</v>
      </c>
      <c r="C205" s="61">
        <f>ROUND(VLOOKUP(A205,'Contribution Allocation_Report'!$A$9:$D$311,4,FALSE)*$C$312,0)</f>
        <v>375434</v>
      </c>
      <c r="D205" s="61">
        <f>ROUND(VLOOKUP(A205,'Contribution Allocation_Report'!$A$9:$D$311,4,FALSE)*$D$312,0)</f>
        <v>301689</v>
      </c>
      <c r="E205" s="61">
        <f>ROUND(VLOOKUP(A205,'Contribution Allocation_Report'!$A$9:$D$311,4,FALSE)*$E$312,0)</f>
        <v>242893</v>
      </c>
      <c r="J205" s="166">
        <v>7445</v>
      </c>
      <c r="K205" s="205">
        <f t="shared" si="3"/>
        <v>0</v>
      </c>
    </row>
    <row r="206" spans="1:11">
      <c r="A206" s="147">
        <v>9029</v>
      </c>
      <c r="B206" s="148" t="s">
        <v>197</v>
      </c>
      <c r="C206" s="60">
        <f>ROUND(VLOOKUP(A206,'Contribution Allocation_Report'!$A$9:$D$311,4,FALSE)*$C$312,0)</f>
        <v>3353448</v>
      </c>
      <c r="D206" s="60">
        <f>ROUND(VLOOKUP(A206,'Contribution Allocation_Report'!$A$9:$D$311,4,FALSE)*$D$312,0)</f>
        <v>2694748</v>
      </c>
      <c r="E206" s="60">
        <f>ROUND(VLOOKUP(A206,'Contribution Allocation_Report'!$A$9:$D$311,4,FALSE)*$E$312,0)</f>
        <v>2169567</v>
      </c>
      <c r="J206" s="164">
        <v>9029</v>
      </c>
      <c r="K206" s="205">
        <f t="shared" si="3"/>
        <v>0</v>
      </c>
    </row>
    <row r="207" spans="1:11">
      <c r="A207" s="143">
        <v>2580</v>
      </c>
      <c r="B207" s="149" t="s">
        <v>198</v>
      </c>
      <c r="C207" s="61">
        <f>ROUND(VLOOKUP(A207,'Contribution Allocation_Report'!$A$9:$D$311,4,FALSE)*$C$312,0)</f>
        <v>439573</v>
      </c>
      <c r="D207" s="61">
        <f>ROUND(VLOOKUP(A207,'Contribution Allocation_Report'!$A$9:$D$311,4,FALSE)*$D$312,0)</f>
        <v>353230</v>
      </c>
      <c r="E207" s="61">
        <f>ROUND(VLOOKUP(A207,'Contribution Allocation_Report'!$A$9:$D$311,4,FALSE)*$E$312,0)</f>
        <v>284389</v>
      </c>
      <c r="J207" s="166">
        <v>2580</v>
      </c>
      <c r="K207" s="205">
        <f t="shared" si="3"/>
        <v>0</v>
      </c>
    </row>
    <row r="208" spans="1:11">
      <c r="A208" s="147">
        <v>20312</v>
      </c>
      <c r="B208" s="148" t="s">
        <v>199</v>
      </c>
      <c r="C208" s="60">
        <f>ROUND(VLOOKUP(A208,'Contribution Allocation_Report'!$A$9:$D$311,4,FALSE)*$C$312,0)</f>
        <v>374075</v>
      </c>
      <c r="D208" s="60">
        <f>ROUND(VLOOKUP(A208,'Contribution Allocation_Report'!$A$9:$D$311,4,FALSE)*$D$312,0)</f>
        <v>300597</v>
      </c>
      <c r="E208" s="60">
        <f>ROUND(VLOOKUP(A208,'Contribution Allocation_Report'!$A$9:$D$311,4,FALSE)*$E$312,0)</f>
        <v>242014</v>
      </c>
      <c r="J208" s="164">
        <v>20312</v>
      </c>
      <c r="K208" s="205">
        <f t="shared" si="3"/>
        <v>0</v>
      </c>
    </row>
    <row r="209" spans="1:11">
      <c r="A209" s="143">
        <v>26150</v>
      </c>
      <c r="B209" s="149" t="s">
        <v>200</v>
      </c>
      <c r="C209" s="61">
        <f>ROUND(VLOOKUP(A209,'Contribution Allocation_Report'!$A$9:$D$311,4,FALSE)*$C$312,0)</f>
        <v>2574433</v>
      </c>
      <c r="D209" s="61">
        <f>ROUND(VLOOKUP(A209,'Contribution Allocation_Report'!$A$9:$D$311,4,FALSE)*$D$312,0)</f>
        <v>2068751</v>
      </c>
      <c r="E209" s="61">
        <f>ROUND(VLOOKUP(A209,'Contribution Allocation_Report'!$A$9:$D$311,4,FALSE)*$E$312,0)</f>
        <v>1665571</v>
      </c>
      <c r="J209" s="166">
        <v>26150</v>
      </c>
      <c r="K209" s="205">
        <f t="shared" si="3"/>
        <v>0</v>
      </c>
    </row>
    <row r="210" spans="1:11">
      <c r="A210" s="147">
        <v>5016</v>
      </c>
      <c r="B210" s="148" t="s">
        <v>201</v>
      </c>
      <c r="C210" s="60">
        <f>ROUND(VLOOKUP(A210,'Contribution Allocation_Report'!$A$9:$D$311,4,FALSE)*$C$312,0)</f>
        <v>282411</v>
      </c>
      <c r="D210" s="60">
        <f>ROUND(VLOOKUP(A210,'Contribution Allocation_Report'!$A$9:$D$311,4,FALSE)*$D$312,0)</f>
        <v>226938</v>
      </c>
      <c r="E210" s="60">
        <f>ROUND(VLOOKUP(A210,'Contribution Allocation_Report'!$A$9:$D$311,4,FALSE)*$E$312,0)</f>
        <v>182710</v>
      </c>
      <c r="J210" s="164">
        <v>5016</v>
      </c>
      <c r="K210" s="205">
        <f t="shared" si="3"/>
        <v>0</v>
      </c>
    </row>
    <row r="211" spans="1:11">
      <c r="A211" s="143">
        <v>6150</v>
      </c>
      <c r="B211" s="149" t="s">
        <v>202</v>
      </c>
      <c r="C211" s="61">
        <f>ROUND(VLOOKUP(A211,'Contribution Allocation_Report'!$A$9:$D$311,4,FALSE)*$C$312,0)</f>
        <v>264627</v>
      </c>
      <c r="D211" s="61">
        <f>ROUND(VLOOKUP(A211,'Contribution Allocation_Report'!$A$9:$D$311,4,FALSE)*$D$312,0)</f>
        <v>212648</v>
      </c>
      <c r="E211" s="61">
        <f>ROUND(VLOOKUP(A211,'Contribution Allocation_Report'!$A$9:$D$311,4,FALSE)*$E$312,0)</f>
        <v>171205</v>
      </c>
      <c r="J211" s="166">
        <v>6150</v>
      </c>
      <c r="K211" s="205">
        <f t="shared" si="3"/>
        <v>0</v>
      </c>
    </row>
    <row r="212" spans="1:11">
      <c r="A212" s="147">
        <v>4480</v>
      </c>
      <c r="B212" s="148" t="s">
        <v>203</v>
      </c>
      <c r="C212" s="60">
        <f>ROUND(VLOOKUP(A212,'Contribution Allocation_Report'!$A$9:$D$311,4,FALSE)*$C$312,0)</f>
        <v>427708</v>
      </c>
      <c r="D212" s="60">
        <f>ROUND(VLOOKUP(A212,'Contribution Allocation_Report'!$A$9:$D$311,4,FALSE)*$D$312,0)</f>
        <v>343696</v>
      </c>
      <c r="E212" s="60">
        <f>ROUND(VLOOKUP(A212,'Contribution Allocation_Report'!$A$9:$D$311,4,FALSE)*$E$312,0)</f>
        <v>276713</v>
      </c>
      <c r="J212" s="164">
        <v>4480</v>
      </c>
      <c r="K212" s="205">
        <f t="shared" si="3"/>
        <v>0</v>
      </c>
    </row>
    <row r="213" spans="1:11">
      <c r="A213" s="143">
        <v>28085</v>
      </c>
      <c r="B213" s="149" t="s">
        <v>204</v>
      </c>
      <c r="C213" s="61">
        <f>ROUND(VLOOKUP(A213,'Contribution Allocation_Report'!$A$9:$D$311,4,FALSE)*$C$312,0)</f>
        <v>895401</v>
      </c>
      <c r="D213" s="61">
        <f>ROUND(VLOOKUP(A213,'Contribution Allocation_Report'!$A$9:$D$311,4,FALSE)*$D$312,0)</f>
        <v>719522</v>
      </c>
      <c r="E213" s="61">
        <f>ROUND(VLOOKUP(A213,'Contribution Allocation_Report'!$A$9:$D$311,4,FALSE)*$E$312,0)</f>
        <v>579294</v>
      </c>
      <c r="J213" s="166">
        <v>28085</v>
      </c>
      <c r="K213" s="205">
        <f t="shared" si="3"/>
        <v>0</v>
      </c>
    </row>
    <row r="214" spans="1:11">
      <c r="A214" s="147">
        <v>3240</v>
      </c>
      <c r="B214" s="148" t="s">
        <v>205</v>
      </c>
      <c r="C214" s="60">
        <f>ROUND(VLOOKUP(A214,'Contribution Allocation_Report'!$A$9:$D$311,4,FALSE)*$C$312,0)</f>
        <v>5416127</v>
      </c>
      <c r="D214" s="60">
        <f>ROUND(VLOOKUP(A214,'Contribution Allocation_Report'!$A$9:$D$311,4,FALSE)*$D$312,0)</f>
        <v>4352265</v>
      </c>
      <c r="E214" s="60">
        <f>ROUND(VLOOKUP(A214,'Contribution Allocation_Report'!$A$9:$D$311,4,FALSE)*$E$312,0)</f>
        <v>3504050</v>
      </c>
      <c r="J214" s="164">
        <v>3240</v>
      </c>
      <c r="K214" s="205">
        <f t="shared" si="3"/>
        <v>0</v>
      </c>
    </row>
    <row r="215" spans="1:11">
      <c r="A215" s="143">
        <v>12326</v>
      </c>
      <c r="B215" s="149" t="s">
        <v>206</v>
      </c>
      <c r="C215" s="61">
        <f>ROUND(VLOOKUP(A215,'Contribution Allocation_Report'!$A$9:$D$311,4,FALSE)*$C$312,0)</f>
        <v>334034</v>
      </c>
      <c r="D215" s="61">
        <f>ROUND(VLOOKUP(A215,'Contribution Allocation_Report'!$A$9:$D$311,4,FALSE)*$D$312,0)</f>
        <v>268421</v>
      </c>
      <c r="E215" s="61">
        <f>ROUND(VLOOKUP(A215,'Contribution Allocation_Report'!$A$9:$D$311,4,FALSE)*$E$312,0)</f>
        <v>216108</v>
      </c>
      <c r="J215" s="166">
        <v>12326</v>
      </c>
      <c r="K215" s="205">
        <f t="shared" si="3"/>
        <v>0</v>
      </c>
    </row>
    <row r="216" spans="1:11">
      <c r="A216" s="147">
        <v>2445</v>
      </c>
      <c r="B216" s="148" t="s">
        <v>533</v>
      </c>
      <c r="C216" s="60">
        <f>ROUND(VLOOKUP(A216,'Contribution Allocation_Report'!$A$9:$D$311,4,FALSE)*$C$312,0)</f>
        <v>95147</v>
      </c>
      <c r="D216" s="60">
        <f>ROUND(VLOOKUP(A216,'Contribution Allocation_Report'!$A$9:$D$311,4,FALSE)*$D$312,0)</f>
        <v>76458</v>
      </c>
      <c r="E216" s="60">
        <f>ROUND(VLOOKUP(A216,'Contribution Allocation_Report'!$A$9:$D$311,4,FALSE)*$E$312,0)</f>
        <v>61557</v>
      </c>
      <c r="J216" s="164">
        <v>2445</v>
      </c>
      <c r="K216" s="205">
        <f t="shared" si="3"/>
        <v>0</v>
      </c>
    </row>
    <row r="217" spans="1:11">
      <c r="A217" s="143">
        <v>29123</v>
      </c>
      <c r="B217" s="149" t="s">
        <v>207</v>
      </c>
      <c r="C217" s="61">
        <f>ROUND(VLOOKUP(A217,'Contribution Allocation_Report'!$A$9:$D$311,4,FALSE)*$C$312,0)</f>
        <v>63779517</v>
      </c>
      <c r="D217" s="61">
        <f>ROUND(VLOOKUP(A217,'Contribution Allocation_Report'!$A$9:$D$311,4,FALSE)*$D$312,0)</f>
        <v>51251644</v>
      </c>
      <c r="E217" s="61">
        <f>ROUND(VLOOKUP(A217,'Contribution Allocation_Report'!$A$9:$D$311,4,FALSE)*$E$312,0)</f>
        <v>41263183</v>
      </c>
      <c r="J217" s="166">
        <v>29123</v>
      </c>
      <c r="K217" s="205">
        <f t="shared" si="3"/>
        <v>0</v>
      </c>
    </row>
    <row r="218" spans="1:11">
      <c r="A218" s="143">
        <v>2318</v>
      </c>
      <c r="B218" s="144" t="s">
        <v>208</v>
      </c>
      <c r="C218" s="78">
        <f>ROUND(VLOOKUP(A218,'Contribution Allocation_Report'!$A$9:$D$311,4,FALSE)*$C$312,0)</f>
        <v>1497715</v>
      </c>
      <c r="D218" s="78">
        <f>ROUND(VLOOKUP(A218,'Contribution Allocation_Report'!$A$9:$D$311,4,FALSE)*$D$312,0)</f>
        <v>1203527</v>
      </c>
      <c r="E218" s="78">
        <f>ROUND(VLOOKUP(A218,'Contribution Allocation_Report'!$A$9:$D$311,4,FALSE)*$E$312,0)</f>
        <v>968971</v>
      </c>
      <c r="J218" s="164">
        <v>2318</v>
      </c>
      <c r="K218" s="205">
        <f t="shared" si="3"/>
        <v>0</v>
      </c>
    </row>
    <row r="219" spans="1:11">
      <c r="A219" s="147">
        <v>3250</v>
      </c>
      <c r="B219" s="148" t="s">
        <v>209</v>
      </c>
      <c r="C219" s="60">
        <f>ROUND(VLOOKUP(A219,'Contribution Allocation_Report'!$A$9:$D$311,4,FALSE)*$C$312,0)</f>
        <v>2033285</v>
      </c>
      <c r="D219" s="60">
        <f>ROUND(VLOOKUP(A219,'Contribution Allocation_Report'!$A$9:$D$311,4,FALSE)*$D$312,0)</f>
        <v>1633897</v>
      </c>
      <c r="E219" s="60">
        <f>ROUND(VLOOKUP(A219,'Contribution Allocation_Report'!$A$9:$D$311,4,FALSE)*$E$312,0)</f>
        <v>1315466</v>
      </c>
      <c r="J219" s="166">
        <v>3250</v>
      </c>
      <c r="K219" s="205">
        <f t="shared" si="3"/>
        <v>0</v>
      </c>
    </row>
    <row r="220" spans="1:11">
      <c r="A220" s="143">
        <v>2313</v>
      </c>
      <c r="B220" s="149" t="s">
        <v>210</v>
      </c>
      <c r="C220" s="61">
        <f>ROUND(VLOOKUP(A220,'Contribution Allocation_Report'!$A$9:$D$311,4,FALSE)*$C$312,0)</f>
        <v>250412</v>
      </c>
      <c r="D220" s="61">
        <f>ROUND(VLOOKUP(A220,'Contribution Allocation_Report'!$A$9:$D$311,4,FALSE)*$D$312,0)</f>
        <v>201225</v>
      </c>
      <c r="E220" s="61">
        <f>ROUND(VLOOKUP(A220,'Contribution Allocation_Report'!$A$9:$D$311,4,FALSE)*$E$312,0)</f>
        <v>162008</v>
      </c>
      <c r="J220" s="164">
        <v>2313</v>
      </c>
      <c r="K220" s="205">
        <f t="shared" si="3"/>
        <v>0</v>
      </c>
    </row>
    <row r="221" spans="1:11">
      <c r="A221" s="147">
        <v>4011</v>
      </c>
      <c r="B221" s="148" t="s">
        <v>211</v>
      </c>
      <c r="C221" s="60">
        <f>ROUND(VLOOKUP(A221,'Contribution Allocation_Report'!$A$9:$D$311,4,FALSE)*$C$312,0)</f>
        <v>37545919</v>
      </c>
      <c r="D221" s="60">
        <f>ROUND(VLOOKUP(A221,'Contribution Allocation_Report'!$A$9:$D$311,4,FALSE)*$D$312,0)</f>
        <v>30170973</v>
      </c>
      <c r="E221" s="60">
        <f>ROUND(VLOOKUP(A221,'Contribution Allocation_Report'!$A$9:$D$311,4,FALSE)*$E$312,0)</f>
        <v>24290935</v>
      </c>
      <c r="J221" s="166">
        <v>4011</v>
      </c>
      <c r="K221" s="205">
        <f t="shared" si="3"/>
        <v>0</v>
      </c>
    </row>
    <row r="222" spans="1:11">
      <c r="A222" s="143">
        <v>31092</v>
      </c>
      <c r="B222" s="149" t="s">
        <v>212</v>
      </c>
      <c r="C222" s="61">
        <f>ROUND(VLOOKUP(A222,'Contribution Allocation_Report'!$A$9:$D$311,4,FALSE)*$C$312,0)</f>
        <v>645413</v>
      </c>
      <c r="D222" s="61">
        <f>ROUND(VLOOKUP(A222,'Contribution Allocation_Report'!$A$9:$D$311,4,FALSE)*$D$312,0)</f>
        <v>518638</v>
      </c>
      <c r="E222" s="61">
        <f>ROUND(VLOOKUP(A222,'Contribution Allocation_Report'!$A$9:$D$311,4,FALSE)*$E$312,0)</f>
        <v>417561</v>
      </c>
      <c r="J222" s="164">
        <v>31092</v>
      </c>
      <c r="K222" s="205">
        <f t="shared" si="3"/>
        <v>0</v>
      </c>
    </row>
    <row r="223" spans="1:11">
      <c r="A223" s="147">
        <v>26081</v>
      </c>
      <c r="B223" s="148" t="s">
        <v>213</v>
      </c>
      <c r="C223" s="60">
        <f>ROUND(VLOOKUP(A223,'Contribution Allocation_Report'!$A$9:$D$311,4,FALSE)*$C$312,0)</f>
        <v>6137403</v>
      </c>
      <c r="D223" s="60">
        <f>ROUND(VLOOKUP(A223,'Contribution Allocation_Report'!$A$9:$D$311,4,FALSE)*$D$312,0)</f>
        <v>4931865</v>
      </c>
      <c r="E223" s="60">
        <f>ROUND(VLOOKUP(A223,'Contribution Allocation_Report'!$A$9:$D$311,4,FALSE)*$E$312,0)</f>
        <v>3970691</v>
      </c>
      <c r="J223" s="166">
        <v>26081</v>
      </c>
      <c r="K223" s="205">
        <f t="shared" si="3"/>
        <v>0</v>
      </c>
    </row>
    <row r="224" spans="1:11">
      <c r="A224" s="143">
        <v>29305</v>
      </c>
      <c r="B224" s="149" t="s">
        <v>214</v>
      </c>
      <c r="C224" s="61">
        <f>ROUND(VLOOKUP(A224,'Contribution Allocation_Report'!$A$9:$D$311,4,FALSE)*$C$312,0)</f>
        <v>449173</v>
      </c>
      <c r="D224" s="61">
        <f>ROUND(VLOOKUP(A224,'Contribution Allocation_Report'!$A$9:$D$311,4,FALSE)*$D$312,0)</f>
        <v>360944</v>
      </c>
      <c r="E224" s="61">
        <f>ROUND(VLOOKUP(A224,'Contribution Allocation_Report'!$A$9:$D$311,4,FALSE)*$E$312,0)</f>
        <v>290600</v>
      </c>
      <c r="J224" s="164">
        <v>29305</v>
      </c>
      <c r="K224" s="205">
        <f t="shared" si="3"/>
        <v>0</v>
      </c>
    </row>
    <row r="225" spans="1:11">
      <c r="A225" s="147">
        <v>10032</v>
      </c>
      <c r="B225" s="148" t="s">
        <v>215</v>
      </c>
      <c r="C225" s="60">
        <f>ROUND(VLOOKUP(A225,'Contribution Allocation_Report'!$A$9:$D$311,4,FALSE)*$C$312,0)</f>
        <v>702587</v>
      </c>
      <c r="D225" s="60">
        <f>ROUND(VLOOKUP(A225,'Contribution Allocation_Report'!$A$9:$D$311,4,FALSE)*$D$312,0)</f>
        <v>564581</v>
      </c>
      <c r="E225" s="60">
        <f>ROUND(VLOOKUP(A225,'Contribution Allocation_Report'!$A$9:$D$311,4,FALSE)*$E$312,0)</f>
        <v>454550</v>
      </c>
      <c r="J225" s="166">
        <v>10032</v>
      </c>
      <c r="K225" s="205">
        <f t="shared" si="3"/>
        <v>0</v>
      </c>
    </row>
    <row r="226" spans="1:11">
      <c r="A226" s="143">
        <v>32107</v>
      </c>
      <c r="B226" s="149" t="s">
        <v>216</v>
      </c>
      <c r="C226" s="61">
        <f>ROUND(VLOOKUP(A226,'Contribution Allocation_Report'!$A$9:$D$311,4,FALSE)*$C$312,0)</f>
        <v>860683</v>
      </c>
      <c r="D226" s="61">
        <f>ROUND(VLOOKUP(A226,'Contribution Allocation_Report'!$A$9:$D$311,4,FALSE)*$D$312,0)</f>
        <v>691624</v>
      </c>
      <c r="E226" s="61">
        <f>ROUND(VLOOKUP(A226,'Contribution Allocation_Report'!$A$9:$D$311,4,FALSE)*$E$312,0)</f>
        <v>556833</v>
      </c>
      <c r="J226" s="164">
        <v>32107</v>
      </c>
      <c r="K226" s="205">
        <f t="shared" si="3"/>
        <v>0</v>
      </c>
    </row>
    <row r="227" spans="1:11">
      <c r="A227" s="147">
        <v>3260</v>
      </c>
      <c r="B227" s="148" t="s">
        <v>217</v>
      </c>
      <c r="C227" s="60">
        <f>ROUND(VLOOKUP(A227,'Contribution Allocation_Report'!$A$9:$D$311,4,FALSE)*$C$312,0)</f>
        <v>16198909</v>
      </c>
      <c r="D227" s="60">
        <f>ROUND(VLOOKUP(A227,'Contribution Allocation_Report'!$A$9:$D$311,4,FALSE)*$D$312,0)</f>
        <v>13017043</v>
      </c>
      <c r="E227" s="60">
        <f>ROUND(VLOOKUP(A227,'Contribution Allocation_Report'!$A$9:$D$311,4,FALSE)*$E$312,0)</f>
        <v>10480144</v>
      </c>
      <c r="J227" s="166">
        <v>3260</v>
      </c>
      <c r="K227" s="205">
        <f t="shared" si="3"/>
        <v>0</v>
      </c>
    </row>
    <row r="228" spans="1:11">
      <c r="A228" s="143">
        <v>4390</v>
      </c>
      <c r="B228" s="149" t="s">
        <v>218</v>
      </c>
      <c r="C228" s="61">
        <f>ROUND(VLOOKUP(A228,'Contribution Allocation_Report'!$A$9:$D$311,4,FALSE)*$C$312,0)</f>
        <v>169735</v>
      </c>
      <c r="D228" s="61">
        <f>ROUND(VLOOKUP(A228,'Contribution Allocation_Report'!$A$9:$D$311,4,FALSE)*$D$312,0)</f>
        <v>136395</v>
      </c>
      <c r="E228" s="61">
        <f>ROUND(VLOOKUP(A228,'Contribution Allocation_Report'!$A$9:$D$311,4,FALSE)*$E$312,0)</f>
        <v>109813</v>
      </c>
      <c r="J228" s="164">
        <v>4390</v>
      </c>
      <c r="K228" s="205">
        <f t="shared" si="3"/>
        <v>0</v>
      </c>
    </row>
    <row r="229" spans="1:11">
      <c r="A229" s="147">
        <v>3270</v>
      </c>
      <c r="B229" s="148" t="s">
        <v>219</v>
      </c>
      <c r="C229" s="60">
        <f>ROUND(VLOOKUP(A229,'Contribution Allocation_Report'!$A$9:$D$311,4,FALSE)*$C$312,0)</f>
        <v>2370292</v>
      </c>
      <c r="D229" s="60">
        <f>ROUND(VLOOKUP(A229,'Contribution Allocation_Report'!$A$9:$D$311,4,FALSE)*$D$312,0)</f>
        <v>1904708</v>
      </c>
      <c r="E229" s="60">
        <f>ROUND(VLOOKUP(A229,'Contribution Allocation_Report'!$A$9:$D$311,4,FALSE)*$E$312,0)</f>
        <v>1533498</v>
      </c>
      <c r="J229" s="166">
        <v>3270</v>
      </c>
      <c r="K229" s="205">
        <f t="shared" si="3"/>
        <v>0</v>
      </c>
    </row>
    <row r="230" spans="1:11">
      <c r="A230" s="143">
        <v>29303</v>
      </c>
      <c r="B230" s="149" t="s">
        <v>220</v>
      </c>
      <c r="C230" s="61">
        <f>ROUND(VLOOKUP(A230,'Contribution Allocation_Report'!$A$9:$D$311,4,FALSE)*$C$312,0)</f>
        <v>743732</v>
      </c>
      <c r="D230" s="61">
        <f>ROUND(VLOOKUP(A230,'Contribution Allocation_Report'!$A$9:$D$311,4,FALSE)*$D$312,0)</f>
        <v>597645</v>
      </c>
      <c r="E230" s="61">
        <f>ROUND(VLOOKUP(A230,'Contribution Allocation_Report'!$A$9:$D$311,4,FALSE)*$E$312,0)</f>
        <v>481169</v>
      </c>
      <c r="J230" s="164">
        <v>29303</v>
      </c>
      <c r="K230" s="205">
        <f t="shared" si="3"/>
        <v>0</v>
      </c>
    </row>
    <row r="231" spans="1:11">
      <c r="A231" s="147">
        <v>3280</v>
      </c>
      <c r="B231" s="148" t="s">
        <v>221</v>
      </c>
      <c r="C231" s="60">
        <f>ROUND(VLOOKUP(A231,'Contribution Allocation_Report'!$A$9:$D$311,4,FALSE)*$C$312,0)</f>
        <v>11979822</v>
      </c>
      <c r="D231" s="60">
        <f>ROUND(VLOOKUP(A231,'Contribution Allocation_Report'!$A$9:$D$311,4,FALSE)*$D$312,0)</f>
        <v>9626689</v>
      </c>
      <c r="E231" s="60">
        <f>ROUND(VLOOKUP(A231,'Contribution Allocation_Report'!$A$9:$D$311,4,FALSE)*$E$312,0)</f>
        <v>7750538</v>
      </c>
      <c r="J231" s="166">
        <v>3280</v>
      </c>
      <c r="K231" s="205">
        <f t="shared" si="3"/>
        <v>0</v>
      </c>
    </row>
    <row r="232" spans="1:11">
      <c r="A232" s="143">
        <v>4260</v>
      </c>
      <c r="B232" s="149" t="s">
        <v>222</v>
      </c>
      <c r="C232" s="61">
        <f>ROUND(VLOOKUP(A232,'Contribution Allocation_Report'!$A$9:$D$311,4,FALSE)*$C$312,0)</f>
        <v>1020593</v>
      </c>
      <c r="D232" s="61">
        <f>ROUND(VLOOKUP(A232,'Contribution Allocation_Report'!$A$9:$D$311,4,FALSE)*$D$312,0)</f>
        <v>820123</v>
      </c>
      <c r="E232" s="61">
        <f>ROUND(VLOOKUP(A232,'Contribution Allocation_Report'!$A$9:$D$311,4,FALSE)*$E$312,0)</f>
        <v>660289</v>
      </c>
      <c r="J232" s="164">
        <v>4260</v>
      </c>
      <c r="K232" s="205">
        <f t="shared" si="3"/>
        <v>0</v>
      </c>
    </row>
    <row r="233" spans="1:11">
      <c r="A233" s="147">
        <v>1003</v>
      </c>
      <c r="B233" s="148" t="s">
        <v>223</v>
      </c>
      <c r="C233" s="60">
        <f>ROUND(VLOOKUP(A233,'Contribution Allocation_Report'!$A$9:$D$311,4,FALSE)*$C$312,0)</f>
        <v>12182603</v>
      </c>
      <c r="D233" s="60">
        <f>ROUND(VLOOKUP(A233,'Contribution Allocation_Report'!$A$9:$D$311,4,FALSE)*$D$312,0)</f>
        <v>9789639</v>
      </c>
      <c r="E233" s="60">
        <f>ROUND(VLOOKUP(A233,'Contribution Allocation_Report'!$A$9:$D$311,4,FALSE)*$E$312,0)</f>
        <v>7881731</v>
      </c>
      <c r="J233" s="166">
        <v>1003</v>
      </c>
      <c r="K233" s="205">
        <f t="shared" si="3"/>
        <v>0</v>
      </c>
    </row>
    <row r="234" spans="1:11">
      <c r="A234" s="143">
        <v>3290</v>
      </c>
      <c r="B234" s="149" t="s">
        <v>224</v>
      </c>
      <c r="C234" s="61">
        <f>ROUND(VLOOKUP(A234,'Contribution Allocation_Report'!$A$9:$D$311,4,FALSE)*$C$312,0)</f>
        <v>25263496</v>
      </c>
      <c r="D234" s="61">
        <f>ROUND(VLOOKUP(A234,'Contribution Allocation_Report'!$A$9:$D$311,4,FALSE)*$D$312,0)</f>
        <v>20301121</v>
      </c>
      <c r="E234" s="61">
        <f>ROUND(VLOOKUP(A234,'Contribution Allocation_Report'!$A$9:$D$311,4,FALSE)*$E$312,0)</f>
        <v>16344624</v>
      </c>
      <c r="J234" s="164">
        <v>3290</v>
      </c>
      <c r="K234" s="205">
        <f t="shared" si="3"/>
        <v>0</v>
      </c>
    </row>
    <row r="235" spans="1:11">
      <c r="A235" s="147">
        <v>1002</v>
      </c>
      <c r="B235" s="148" t="s">
        <v>225</v>
      </c>
      <c r="C235" s="60">
        <f>ROUND(VLOOKUP(A235,'Contribution Allocation_Report'!$A$9:$D$311,4,FALSE)*$C$312,0)</f>
        <v>49392733</v>
      </c>
      <c r="D235" s="60">
        <f>ROUND(VLOOKUP(A235,'Contribution Allocation_Report'!$A$9:$D$311,4,FALSE)*$D$312,0)</f>
        <v>39690780</v>
      </c>
      <c r="E235" s="60">
        <f>ROUND(VLOOKUP(A235,'Contribution Allocation_Report'!$A$9:$D$311,4,FALSE)*$E$312,0)</f>
        <v>31955422</v>
      </c>
      <c r="J235" s="166">
        <v>1002</v>
      </c>
      <c r="K235" s="205">
        <f t="shared" si="3"/>
        <v>0</v>
      </c>
    </row>
    <row r="236" spans="1:11">
      <c r="A236" s="143">
        <v>4270</v>
      </c>
      <c r="B236" s="149" t="s">
        <v>442</v>
      </c>
      <c r="C236" s="61">
        <f>ROUND(VLOOKUP(A236,'Contribution Allocation_Report'!$A$9:$D$311,4,FALSE)*$C$312,0)</f>
        <v>1069469</v>
      </c>
      <c r="D236" s="61">
        <f>ROUND(VLOOKUP(A236,'Contribution Allocation_Report'!$A$9:$D$311,4,FALSE)*$D$312,0)</f>
        <v>859399</v>
      </c>
      <c r="E236" s="61">
        <f>ROUND(VLOOKUP(A236,'Contribution Allocation_Report'!$A$9:$D$311,4,FALSE)*$E$312,0)</f>
        <v>691910</v>
      </c>
      <c r="J236" s="164">
        <v>4270</v>
      </c>
      <c r="K236" s="205">
        <f t="shared" si="3"/>
        <v>0</v>
      </c>
    </row>
    <row r="237" spans="1:11">
      <c r="A237" s="147">
        <v>24072</v>
      </c>
      <c r="B237" s="148" t="s">
        <v>226</v>
      </c>
      <c r="C237" s="60">
        <f>ROUND(VLOOKUP(A237,'Contribution Allocation_Report'!$A$9:$D$311,4,FALSE)*$C$312,0)</f>
        <v>3816100</v>
      </c>
      <c r="D237" s="60">
        <f>ROUND(VLOOKUP(A237,'Contribution Allocation_Report'!$A$9:$D$311,4,FALSE)*$D$312,0)</f>
        <v>3066524</v>
      </c>
      <c r="E237" s="60">
        <f>ROUND(VLOOKUP(A237,'Contribution Allocation_Report'!$A$9:$D$311,4,FALSE)*$E$312,0)</f>
        <v>2468887</v>
      </c>
      <c r="J237" s="166">
        <v>24072</v>
      </c>
      <c r="K237" s="205">
        <f t="shared" si="3"/>
        <v>0</v>
      </c>
    </row>
    <row r="238" spans="1:11">
      <c r="A238" s="143">
        <v>14366</v>
      </c>
      <c r="B238" s="149" t="s">
        <v>227</v>
      </c>
      <c r="C238" s="61">
        <f>ROUND(VLOOKUP(A238,'Contribution Allocation_Report'!$A$9:$D$311,4,FALSE)*$C$312,0)</f>
        <v>2018191</v>
      </c>
      <c r="D238" s="61">
        <f>ROUND(VLOOKUP(A238,'Contribution Allocation_Report'!$A$9:$D$311,4,FALSE)*$D$312,0)</f>
        <v>1621769</v>
      </c>
      <c r="E238" s="61">
        <f>ROUND(VLOOKUP(A238,'Contribution Allocation_Report'!$A$9:$D$311,4,FALSE)*$E$312,0)</f>
        <v>1305701</v>
      </c>
      <c r="J238" s="164">
        <v>14366</v>
      </c>
      <c r="K238" s="205">
        <f t="shared" si="3"/>
        <v>0</v>
      </c>
    </row>
    <row r="239" spans="1:11">
      <c r="A239" s="147">
        <v>4317</v>
      </c>
      <c r="B239" s="148" t="s">
        <v>228</v>
      </c>
      <c r="C239" s="60">
        <f>ROUND(VLOOKUP(A239,'Contribution Allocation_Report'!$A$9:$D$311,4,FALSE)*$C$312,0)</f>
        <v>667813</v>
      </c>
      <c r="D239" s="60">
        <f>ROUND(VLOOKUP(A239,'Contribution Allocation_Report'!$A$9:$D$311,4,FALSE)*$D$312,0)</f>
        <v>536638</v>
      </c>
      <c r="E239" s="60">
        <f>ROUND(VLOOKUP(A239,'Contribution Allocation_Report'!$A$9:$D$311,4,FALSE)*$E$312,0)</f>
        <v>432052</v>
      </c>
      <c r="J239" s="166">
        <v>4317</v>
      </c>
      <c r="K239" s="205">
        <f t="shared" si="3"/>
        <v>0</v>
      </c>
    </row>
    <row r="240" spans="1:11">
      <c r="A240" s="143">
        <v>32120</v>
      </c>
      <c r="B240" s="149" t="s">
        <v>229</v>
      </c>
      <c r="C240" s="61">
        <f>ROUND(VLOOKUP(A240,'Contribution Allocation_Report'!$A$9:$D$311,4,FALSE)*$C$312,0)</f>
        <v>824890</v>
      </c>
      <c r="D240" s="61">
        <f>ROUND(VLOOKUP(A240,'Contribution Allocation_Report'!$A$9:$D$311,4,FALSE)*$D$312,0)</f>
        <v>662861</v>
      </c>
      <c r="E240" s="61">
        <f>ROUND(VLOOKUP(A240,'Contribution Allocation_Report'!$A$9:$D$311,4,FALSE)*$E$312,0)</f>
        <v>533676</v>
      </c>
      <c r="J240" s="164">
        <v>32120</v>
      </c>
      <c r="K240" s="205">
        <f t="shared" si="3"/>
        <v>0</v>
      </c>
    </row>
    <row r="241" spans="1:11">
      <c r="A241" s="147">
        <v>3300</v>
      </c>
      <c r="B241" s="148" t="s">
        <v>230</v>
      </c>
      <c r="C241" s="60">
        <f>ROUND(VLOOKUP(A241,'Contribution Allocation_Report'!$A$9:$D$311,4,FALSE)*$C$312,0)</f>
        <v>1789329</v>
      </c>
      <c r="D241" s="60">
        <f>ROUND(VLOOKUP(A241,'Contribution Allocation_Report'!$A$9:$D$311,4,FALSE)*$D$312,0)</f>
        <v>1437861</v>
      </c>
      <c r="E241" s="60">
        <f>ROUND(VLOOKUP(A241,'Contribution Allocation_Report'!$A$9:$D$311,4,FALSE)*$E$312,0)</f>
        <v>1157635</v>
      </c>
      <c r="J241" s="166">
        <v>3300</v>
      </c>
      <c r="K241" s="205">
        <f t="shared" si="3"/>
        <v>0</v>
      </c>
    </row>
    <row r="242" spans="1:11">
      <c r="A242" s="143">
        <v>8026</v>
      </c>
      <c r="B242" s="149" t="s">
        <v>231</v>
      </c>
      <c r="C242" s="61">
        <f>ROUND(VLOOKUP(A242,'Contribution Allocation_Report'!$A$9:$D$311,4,FALSE)*$C$312,0)</f>
        <v>9799427</v>
      </c>
      <c r="D242" s="61">
        <f>ROUND(VLOOKUP(A242,'Contribution Allocation_Report'!$A$9:$D$311,4,FALSE)*$D$312,0)</f>
        <v>7874578</v>
      </c>
      <c r="E242" s="61">
        <f>ROUND(VLOOKUP(A242,'Contribution Allocation_Report'!$A$9:$D$311,4,FALSE)*$E$312,0)</f>
        <v>6339897</v>
      </c>
      <c r="J242" s="164">
        <v>8026</v>
      </c>
      <c r="K242" s="205">
        <f t="shared" si="3"/>
        <v>0</v>
      </c>
    </row>
    <row r="243" spans="1:11">
      <c r="A243" s="147">
        <v>32119</v>
      </c>
      <c r="B243" s="148" t="s">
        <v>232</v>
      </c>
      <c r="C243" s="60">
        <f>ROUND(VLOOKUP(A243,'Contribution Allocation_Report'!$A$9:$D$311,4,FALSE)*$C$312,0)</f>
        <v>357254</v>
      </c>
      <c r="D243" s="60">
        <f>ROUND(VLOOKUP(A243,'Contribution Allocation_Report'!$A$9:$D$311,4,FALSE)*$D$312,0)</f>
        <v>287081</v>
      </c>
      <c r="E243" s="60">
        <f>ROUND(VLOOKUP(A243,'Contribution Allocation_Report'!$A$9:$D$311,4,FALSE)*$E$312,0)</f>
        <v>231131</v>
      </c>
      <c r="J243" s="166">
        <v>32119</v>
      </c>
      <c r="K243" s="205">
        <f t="shared" si="3"/>
        <v>0</v>
      </c>
    </row>
    <row r="244" spans="1:11">
      <c r="A244" s="143">
        <v>25076</v>
      </c>
      <c r="B244" s="149" t="s">
        <v>233</v>
      </c>
      <c r="C244" s="61">
        <f>ROUND(VLOOKUP(A244,'Contribution Allocation_Report'!$A$9:$D$311,4,FALSE)*$C$312,0)</f>
        <v>5786293</v>
      </c>
      <c r="D244" s="61">
        <f>ROUND(VLOOKUP(A244,'Contribution Allocation_Report'!$A$9:$D$311,4,FALSE)*$D$312,0)</f>
        <v>4649722</v>
      </c>
      <c r="E244" s="61">
        <f>ROUND(VLOOKUP(A244,'Contribution Allocation_Report'!$A$9:$D$311,4,FALSE)*$E$312,0)</f>
        <v>3743535</v>
      </c>
      <c r="J244" s="164">
        <v>25076</v>
      </c>
      <c r="K244" s="205">
        <f t="shared" si="3"/>
        <v>0</v>
      </c>
    </row>
    <row r="245" spans="1:11">
      <c r="A245" s="147">
        <v>2440</v>
      </c>
      <c r="B245" s="148" t="s">
        <v>413</v>
      </c>
      <c r="C245" s="60">
        <f>ROUND(VLOOKUP(A245,'Contribution Allocation_Report'!$A$9:$D$311,4,FALSE)*$C$312,0)</f>
        <v>826221</v>
      </c>
      <c r="D245" s="60">
        <f>ROUND(VLOOKUP(A245,'Contribution Allocation_Report'!$A$9:$D$311,4,FALSE)*$D$312,0)</f>
        <v>663931</v>
      </c>
      <c r="E245" s="60">
        <f>ROUND(VLOOKUP(A245,'Contribution Allocation_Report'!$A$9:$D$311,4,FALSE)*$E$312,0)</f>
        <v>534537</v>
      </c>
      <c r="J245" s="166">
        <v>2440</v>
      </c>
      <c r="K245" s="205">
        <f t="shared" si="3"/>
        <v>0</v>
      </c>
    </row>
    <row r="246" spans="1:11">
      <c r="A246" s="143">
        <v>2309</v>
      </c>
      <c r="B246" s="149" t="s">
        <v>234</v>
      </c>
      <c r="C246" s="61">
        <f>ROUND(VLOOKUP(A246,'Contribution Allocation_Report'!$A$9:$D$311,4,FALSE)*$C$312,0)</f>
        <v>2446154</v>
      </c>
      <c r="D246" s="61">
        <f>ROUND(VLOOKUP(A246,'Contribution Allocation_Report'!$A$9:$D$311,4,FALSE)*$D$312,0)</f>
        <v>1965669</v>
      </c>
      <c r="E246" s="61">
        <f>ROUND(VLOOKUP(A246,'Contribution Allocation_Report'!$A$9:$D$311,4,FALSE)*$E$312,0)</f>
        <v>1582579</v>
      </c>
      <c r="J246" s="164">
        <v>2309</v>
      </c>
      <c r="K246" s="205">
        <f t="shared" si="3"/>
        <v>0</v>
      </c>
    </row>
    <row r="247" spans="1:11">
      <c r="A247" s="147">
        <v>2396</v>
      </c>
      <c r="B247" s="148" t="s">
        <v>235</v>
      </c>
      <c r="C247" s="60">
        <f>ROUND(VLOOKUP(A247,'Contribution Allocation_Report'!$A$9:$D$311,4,FALSE)*$C$312,0)</f>
        <v>736454</v>
      </c>
      <c r="D247" s="60">
        <f>ROUND(VLOOKUP(A247,'Contribution Allocation_Report'!$A$9:$D$311,4,FALSE)*$D$312,0)</f>
        <v>591797</v>
      </c>
      <c r="E247" s="60">
        <f>ROUND(VLOOKUP(A247,'Contribution Allocation_Report'!$A$9:$D$311,4,FALSE)*$E$312,0)</f>
        <v>476461</v>
      </c>
      <c r="J247" s="166">
        <v>2396</v>
      </c>
      <c r="K247" s="205">
        <f t="shared" si="3"/>
        <v>0</v>
      </c>
    </row>
    <row r="248" spans="1:11">
      <c r="A248" s="143">
        <v>3380</v>
      </c>
      <c r="B248" s="149" t="s">
        <v>236</v>
      </c>
      <c r="C248" s="61">
        <f>ROUND(VLOOKUP(A248,'Contribution Allocation_Report'!$A$9:$D$311,4,FALSE)*$C$312,0)</f>
        <v>520760</v>
      </c>
      <c r="D248" s="61">
        <f>ROUND(VLOOKUP(A248,'Contribution Allocation_Report'!$A$9:$D$311,4,FALSE)*$D$312,0)</f>
        <v>418470</v>
      </c>
      <c r="E248" s="61">
        <f>ROUND(VLOOKUP(A248,'Contribution Allocation_Report'!$A$9:$D$311,4,FALSE)*$E$312,0)</f>
        <v>336914</v>
      </c>
      <c r="J248" s="164">
        <v>3380</v>
      </c>
      <c r="K248" s="205">
        <f t="shared" si="3"/>
        <v>0</v>
      </c>
    </row>
    <row r="249" spans="1:11">
      <c r="A249" s="147">
        <v>2420</v>
      </c>
      <c r="B249" s="148" t="s">
        <v>237</v>
      </c>
      <c r="C249" s="60">
        <f>ROUND(VLOOKUP(A249,'Contribution Allocation_Report'!$A$9:$D$311,4,FALSE)*$C$312,0)</f>
        <v>681660</v>
      </c>
      <c r="D249" s="60">
        <f>ROUND(VLOOKUP(A249,'Contribution Allocation_Report'!$A$9:$D$311,4,FALSE)*$D$312,0)</f>
        <v>547765</v>
      </c>
      <c r="E249" s="60">
        <f>ROUND(VLOOKUP(A249,'Contribution Allocation_Report'!$A$9:$D$311,4,FALSE)*$E$312,0)</f>
        <v>441011</v>
      </c>
      <c r="J249" s="166">
        <v>2420</v>
      </c>
      <c r="K249" s="205">
        <f t="shared" si="3"/>
        <v>0</v>
      </c>
    </row>
    <row r="250" spans="1:11">
      <c r="A250" s="143">
        <v>2740</v>
      </c>
      <c r="B250" s="149" t="s">
        <v>238</v>
      </c>
      <c r="C250" s="61">
        <f>ROUND(VLOOKUP(A250,'Contribution Allocation_Report'!$A$9:$D$311,4,FALSE)*$C$312,0)</f>
        <v>148497</v>
      </c>
      <c r="D250" s="61">
        <f>ROUND(VLOOKUP(A250,'Contribution Allocation_Report'!$A$9:$D$311,4,FALSE)*$D$312,0)</f>
        <v>119329</v>
      </c>
      <c r="E250" s="61">
        <f>ROUND(VLOOKUP(A250,'Contribution Allocation_Report'!$A$9:$D$311,4,FALSE)*$E$312,0)</f>
        <v>96073</v>
      </c>
      <c r="J250" s="164">
        <v>2740</v>
      </c>
      <c r="K250" s="205">
        <f t="shared" si="3"/>
        <v>0</v>
      </c>
    </row>
    <row r="251" spans="1:11">
      <c r="A251" s="147">
        <v>2346</v>
      </c>
      <c r="B251" s="148" t="s">
        <v>239</v>
      </c>
      <c r="C251" s="60">
        <f>ROUND(VLOOKUP(A251,'Contribution Allocation_Report'!$A$9:$D$311,4,FALSE)*$C$312,0)</f>
        <v>608969</v>
      </c>
      <c r="D251" s="60">
        <f>ROUND(VLOOKUP(A251,'Contribution Allocation_Report'!$A$9:$D$311,4,FALSE)*$D$312,0)</f>
        <v>489352</v>
      </c>
      <c r="E251" s="60">
        <f>ROUND(VLOOKUP(A251,'Contribution Allocation_Report'!$A$9:$D$311,4,FALSE)*$E$312,0)</f>
        <v>393982</v>
      </c>
      <c r="J251" s="166">
        <v>2346</v>
      </c>
      <c r="K251" s="205">
        <f t="shared" si="3"/>
        <v>0</v>
      </c>
    </row>
    <row r="252" spans="1:11">
      <c r="A252" s="143">
        <v>21150</v>
      </c>
      <c r="B252" s="149" t="s">
        <v>240</v>
      </c>
      <c r="C252" s="61">
        <f>ROUND(VLOOKUP(A252,'Contribution Allocation_Report'!$A$9:$D$311,4,FALSE)*$C$312,0)</f>
        <v>1413782</v>
      </c>
      <c r="D252" s="61">
        <f>ROUND(VLOOKUP(A252,'Contribution Allocation_Report'!$A$9:$D$311,4,FALSE)*$D$312,0)</f>
        <v>1136080</v>
      </c>
      <c r="E252" s="61">
        <f>ROUND(VLOOKUP(A252,'Contribution Allocation_Report'!$A$9:$D$311,4,FALSE)*$E$312,0)</f>
        <v>914669</v>
      </c>
      <c r="J252" s="164">
        <v>21150</v>
      </c>
      <c r="K252" s="205">
        <f t="shared" si="3"/>
        <v>0</v>
      </c>
    </row>
    <row r="253" spans="1:11">
      <c r="A253" s="147">
        <v>32098</v>
      </c>
      <c r="B253" s="148" t="s">
        <v>241</v>
      </c>
      <c r="C253" s="60">
        <f>ROUND(VLOOKUP(A253,'Contribution Allocation_Report'!$A$9:$D$311,4,FALSE)*$C$312,0)</f>
        <v>609790</v>
      </c>
      <c r="D253" s="60">
        <f>ROUND(VLOOKUP(A253,'Contribution Allocation_Report'!$A$9:$D$311,4,FALSE)*$D$312,0)</f>
        <v>490012</v>
      </c>
      <c r="E253" s="60">
        <f>ROUND(VLOOKUP(A253,'Contribution Allocation_Report'!$A$9:$D$311,4,FALSE)*$E$312,0)</f>
        <v>394513</v>
      </c>
      <c r="J253" s="166">
        <v>32098</v>
      </c>
      <c r="K253" s="205">
        <f t="shared" si="3"/>
        <v>0</v>
      </c>
    </row>
    <row r="254" spans="1:11">
      <c r="A254" s="143">
        <v>4520</v>
      </c>
      <c r="B254" s="149" t="s">
        <v>242</v>
      </c>
      <c r="C254" s="61">
        <f>ROUND(VLOOKUP(A254,'Contribution Allocation_Report'!$A$9:$D$311,4,FALSE)*$C$312,0)</f>
        <v>90106</v>
      </c>
      <c r="D254" s="61">
        <f>ROUND(VLOOKUP(A254,'Contribution Allocation_Report'!$A$9:$D$311,4,FALSE)*$D$312,0)</f>
        <v>72407</v>
      </c>
      <c r="E254" s="61">
        <f>ROUND(VLOOKUP(A254,'Contribution Allocation_Report'!$A$9:$D$311,4,FALSE)*$E$312,0)</f>
        <v>58296</v>
      </c>
      <c r="J254" s="164">
        <v>4520</v>
      </c>
      <c r="K254" s="205">
        <f t="shared" si="3"/>
        <v>0</v>
      </c>
    </row>
    <row r="255" spans="1:11">
      <c r="A255" s="147">
        <v>9030</v>
      </c>
      <c r="B255" s="148" t="s">
        <v>243</v>
      </c>
      <c r="C255" s="60">
        <f>ROUND(VLOOKUP(A255,'Contribution Allocation_Report'!$A$9:$D$311,4,FALSE)*$C$312,0)</f>
        <v>844231</v>
      </c>
      <c r="D255" s="60">
        <f>ROUND(VLOOKUP(A255,'Contribution Allocation_Report'!$A$9:$D$311,4,FALSE)*$D$312,0)</f>
        <v>678403</v>
      </c>
      <c r="E255" s="60">
        <f>ROUND(VLOOKUP(A255,'Contribution Allocation_Report'!$A$9:$D$311,4,FALSE)*$E$312,0)</f>
        <v>546189</v>
      </c>
      <c r="J255" s="166">
        <v>9030</v>
      </c>
      <c r="K255" s="205">
        <f t="shared" si="3"/>
        <v>0</v>
      </c>
    </row>
    <row r="256" spans="1:11">
      <c r="A256" s="143">
        <v>20265</v>
      </c>
      <c r="B256" s="149" t="s">
        <v>244</v>
      </c>
      <c r="C256" s="61">
        <f>ROUND(VLOOKUP(A256,'Contribution Allocation_Report'!$A$9:$D$311,4,FALSE)*$C$312,0)</f>
        <v>975426</v>
      </c>
      <c r="D256" s="61">
        <f>ROUND(VLOOKUP(A256,'Contribution Allocation_Report'!$A$9:$D$311,4,FALSE)*$D$312,0)</f>
        <v>783828</v>
      </c>
      <c r="E256" s="61">
        <f>ROUND(VLOOKUP(A256,'Contribution Allocation_Report'!$A$9:$D$311,4,FALSE)*$E$312,0)</f>
        <v>631068</v>
      </c>
      <c r="J256" s="164">
        <v>20265</v>
      </c>
      <c r="K256" s="205">
        <f t="shared" si="3"/>
        <v>0</v>
      </c>
    </row>
    <row r="257" spans="1:11">
      <c r="A257" s="147">
        <v>20307</v>
      </c>
      <c r="B257" s="148" t="s">
        <v>245</v>
      </c>
      <c r="C257" s="60">
        <f>ROUND(VLOOKUP(A257,'Contribution Allocation_Report'!$A$9:$D$311,4,FALSE)*$C$312,0)</f>
        <v>885659</v>
      </c>
      <c r="D257" s="60">
        <f>ROUND(VLOOKUP(A257,'Contribution Allocation_Report'!$A$9:$D$311,4,FALSE)*$D$312,0)</f>
        <v>711694</v>
      </c>
      <c r="E257" s="60">
        <f>ROUND(VLOOKUP(A257,'Contribution Allocation_Report'!$A$9:$D$311,4,FALSE)*$E$312,0)</f>
        <v>572992</v>
      </c>
      <c r="J257" s="166">
        <v>20307</v>
      </c>
      <c r="K257" s="205">
        <f t="shared" si="3"/>
        <v>0</v>
      </c>
    </row>
    <row r="258" spans="1:11">
      <c r="A258" s="143">
        <v>3320</v>
      </c>
      <c r="B258" s="149" t="s">
        <v>246</v>
      </c>
      <c r="C258" s="61">
        <f>ROUND(VLOOKUP(A258,'Contribution Allocation_Report'!$A$9:$D$311,4,FALSE)*$C$312,0)</f>
        <v>5448097</v>
      </c>
      <c r="D258" s="61">
        <f>ROUND(VLOOKUP(A258,'Contribution Allocation_Report'!$A$9:$D$311,4,FALSE)*$D$312,0)</f>
        <v>4377956</v>
      </c>
      <c r="E258" s="61">
        <f>ROUND(VLOOKUP(A258,'Contribution Allocation_Report'!$A$9:$D$311,4,FALSE)*$E$312,0)</f>
        <v>3524734</v>
      </c>
      <c r="J258" s="164">
        <v>3320</v>
      </c>
      <c r="K258" s="205">
        <f t="shared" si="3"/>
        <v>0</v>
      </c>
    </row>
    <row r="259" spans="1:11">
      <c r="A259" s="147">
        <v>20415</v>
      </c>
      <c r="B259" s="148" t="s">
        <v>247</v>
      </c>
      <c r="C259" s="60">
        <f>ROUND(VLOOKUP(A259,'Contribution Allocation_Report'!$A$9:$D$311,4,FALSE)*$C$312,0)</f>
        <v>660450</v>
      </c>
      <c r="D259" s="60">
        <f>ROUND(VLOOKUP(A259,'Contribution Allocation_Report'!$A$9:$D$311,4,FALSE)*$D$312,0)</f>
        <v>530721</v>
      </c>
      <c r="E259" s="60">
        <f>ROUND(VLOOKUP(A259,'Contribution Allocation_Report'!$A$9:$D$311,4,FALSE)*$E$312,0)</f>
        <v>427289</v>
      </c>
      <c r="J259" s="166">
        <v>20415</v>
      </c>
      <c r="K259" s="205">
        <f t="shared" si="3"/>
        <v>0</v>
      </c>
    </row>
    <row r="260" spans="1:11">
      <c r="A260" s="143">
        <v>20435</v>
      </c>
      <c r="B260" s="149" t="s">
        <v>435</v>
      </c>
      <c r="C260" s="61">
        <f>ROUND(VLOOKUP(A260,'Contribution Allocation_Report'!$A$9:$D$311,4,FALSE)*$C$312,0)</f>
        <v>828231</v>
      </c>
      <c r="D260" s="61">
        <f>ROUND(VLOOKUP(A260,'Contribution Allocation_Report'!$A$9:$D$311,4,FALSE)*$D$312,0)</f>
        <v>665546</v>
      </c>
      <c r="E260" s="61">
        <f>ROUND(VLOOKUP(A260,'Contribution Allocation_Report'!$A$9:$D$311,4,FALSE)*$E$312,0)</f>
        <v>535838</v>
      </c>
      <c r="J260" s="164">
        <v>20435</v>
      </c>
      <c r="K260" s="205">
        <f t="shared" si="3"/>
        <v>0</v>
      </c>
    </row>
    <row r="261" spans="1:11">
      <c r="A261" s="147">
        <v>20062</v>
      </c>
      <c r="B261" s="148" t="s">
        <v>248</v>
      </c>
      <c r="C261" s="60">
        <f>ROUND(VLOOKUP(A261,'Contribution Allocation_Report'!$A$9:$D$311,4,FALSE)*$C$312,0)</f>
        <v>8467257</v>
      </c>
      <c r="D261" s="60">
        <f>ROUND(VLOOKUP(A261,'Contribution Allocation_Report'!$A$9:$D$311,4,FALSE)*$D$312,0)</f>
        <v>6804078</v>
      </c>
      <c r="E261" s="60">
        <f>ROUND(VLOOKUP(A261,'Contribution Allocation_Report'!$A$9:$D$311,4,FALSE)*$E$312,0)</f>
        <v>5478028</v>
      </c>
      <c r="J261" s="166">
        <v>20062</v>
      </c>
      <c r="K261" s="205">
        <f t="shared" si="3"/>
        <v>0</v>
      </c>
    </row>
    <row r="262" spans="1:11">
      <c r="A262" s="143">
        <v>6020</v>
      </c>
      <c r="B262" s="149" t="s">
        <v>249</v>
      </c>
      <c r="C262" s="61">
        <f>ROUND(VLOOKUP(A262,'Contribution Allocation_Report'!$A$9:$D$311,4,FALSE)*$C$312,0)</f>
        <v>1648477</v>
      </c>
      <c r="D262" s="61">
        <f>ROUND(VLOOKUP(A262,'Contribution Allocation_Report'!$A$9:$D$311,4,FALSE)*$D$312,0)</f>
        <v>1324676</v>
      </c>
      <c r="E262" s="61">
        <f>ROUND(VLOOKUP(A262,'Contribution Allocation_Report'!$A$9:$D$311,4,FALSE)*$E$312,0)</f>
        <v>1066509</v>
      </c>
      <c r="J262" s="164">
        <v>6020</v>
      </c>
      <c r="K262" s="205">
        <f t="shared" si="3"/>
        <v>0</v>
      </c>
    </row>
    <row r="263" spans="1:11">
      <c r="A263" s="147">
        <v>2394</v>
      </c>
      <c r="B263" s="148" t="s">
        <v>250</v>
      </c>
      <c r="C263" s="60">
        <f>ROUND(VLOOKUP(A263,'Contribution Allocation_Report'!$A$9:$D$311,4,FALSE)*$C$312,0)</f>
        <v>984233</v>
      </c>
      <c r="D263" s="60">
        <f>ROUND(VLOOKUP(A263,'Contribution Allocation_Report'!$A$9:$D$311,4,FALSE)*$D$312,0)</f>
        <v>790905</v>
      </c>
      <c r="E263" s="60">
        <f>ROUND(VLOOKUP(A263,'Contribution Allocation_Report'!$A$9:$D$311,4,FALSE)*$E$312,0)</f>
        <v>636765</v>
      </c>
      <c r="J263" s="166">
        <v>2394</v>
      </c>
      <c r="K263" s="205">
        <f t="shared" si="3"/>
        <v>0</v>
      </c>
    </row>
    <row r="264" spans="1:11">
      <c r="A264" s="143">
        <v>5015</v>
      </c>
      <c r="B264" s="149" t="s">
        <v>251</v>
      </c>
      <c r="C264" s="61">
        <f>ROUND(VLOOKUP(A264,'Contribution Allocation_Report'!$A$9:$D$311,4,FALSE)*$C$312,0)</f>
        <v>2381307</v>
      </c>
      <c r="D264" s="61">
        <f>ROUND(VLOOKUP(A264,'Contribution Allocation_Report'!$A$9:$D$311,4,FALSE)*$D$312,0)</f>
        <v>1913560</v>
      </c>
      <c r="E264" s="61">
        <f>ROUND(VLOOKUP(A264,'Contribution Allocation_Report'!$A$9:$D$311,4,FALSE)*$E$312,0)</f>
        <v>1540625</v>
      </c>
      <c r="J264" s="164">
        <v>5015</v>
      </c>
      <c r="K264" s="205">
        <f t="shared" si="3"/>
        <v>0</v>
      </c>
    </row>
    <row r="265" spans="1:11">
      <c r="A265" s="147">
        <v>29408</v>
      </c>
      <c r="B265" s="148" t="s">
        <v>252</v>
      </c>
      <c r="C265" s="60">
        <f>ROUND(VLOOKUP(A265,'Contribution Allocation_Report'!$A$9:$D$311,4,FALSE)*$C$312,0)</f>
        <v>1541975</v>
      </c>
      <c r="D265" s="60">
        <f>ROUND(VLOOKUP(A265,'Contribution Allocation_Report'!$A$9:$D$311,4,FALSE)*$D$312,0)</f>
        <v>1239093</v>
      </c>
      <c r="E265" s="60">
        <f>ROUND(VLOOKUP(A265,'Contribution Allocation_Report'!$A$9:$D$311,4,FALSE)*$E$312,0)</f>
        <v>997606</v>
      </c>
      <c r="J265" s="166">
        <v>29408</v>
      </c>
      <c r="K265" s="205">
        <f t="shared" si="3"/>
        <v>0</v>
      </c>
    </row>
    <row r="266" spans="1:11">
      <c r="A266" s="143">
        <v>2413</v>
      </c>
      <c r="B266" s="149" t="s">
        <v>253</v>
      </c>
      <c r="C266" s="61">
        <f>ROUND(VLOOKUP(A266,'Contribution Allocation_Report'!$A$9:$D$311,4,FALSE)*$C$312,0)</f>
        <v>334147</v>
      </c>
      <c r="D266" s="61">
        <f>ROUND(VLOOKUP(A266,'Contribution Allocation_Report'!$A$9:$D$311,4,FALSE)*$D$312,0)</f>
        <v>268512</v>
      </c>
      <c r="E266" s="61">
        <f>ROUND(VLOOKUP(A266,'Contribution Allocation_Report'!$A$9:$D$311,4,FALSE)*$E$312,0)</f>
        <v>216182</v>
      </c>
      <c r="J266" s="164">
        <v>2413</v>
      </c>
      <c r="K266" s="205">
        <f t="shared" si="3"/>
        <v>0</v>
      </c>
    </row>
    <row r="267" spans="1:11">
      <c r="A267" s="147">
        <v>1398</v>
      </c>
      <c r="B267" s="148" t="s">
        <v>254</v>
      </c>
      <c r="C267" s="60">
        <f>ROUND(VLOOKUP(A267,'Contribution Allocation_Report'!$A$9:$D$311,4,FALSE)*$C$312,0)</f>
        <v>623524</v>
      </c>
      <c r="D267" s="60">
        <f>ROUND(VLOOKUP(A267,'Contribution Allocation_Report'!$A$9:$D$311,4,FALSE)*$D$312,0)</f>
        <v>501048</v>
      </c>
      <c r="E267" s="60">
        <f>ROUND(VLOOKUP(A267,'Contribution Allocation_Report'!$A$9:$D$311,4,FALSE)*$E$312,0)</f>
        <v>403399</v>
      </c>
      <c r="J267" s="166">
        <v>1398</v>
      </c>
      <c r="K267" s="205">
        <f t="shared" si="3"/>
        <v>0</v>
      </c>
    </row>
    <row r="268" spans="1:11">
      <c r="A268" s="143">
        <v>2366</v>
      </c>
      <c r="B268" s="149" t="s">
        <v>255</v>
      </c>
      <c r="C268" s="61">
        <f>ROUND(VLOOKUP(A268,'Contribution Allocation_Report'!$A$9:$D$311,4,FALSE)*$C$312,0)</f>
        <v>672032</v>
      </c>
      <c r="D268" s="61">
        <f>ROUND(VLOOKUP(A268,'Contribution Allocation_Report'!$A$9:$D$311,4,FALSE)*$D$312,0)</f>
        <v>540028</v>
      </c>
      <c r="E268" s="61">
        <f>ROUND(VLOOKUP(A268,'Contribution Allocation_Report'!$A$9:$D$311,4,FALSE)*$E$312,0)</f>
        <v>434782</v>
      </c>
      <c r="J268" s="164">
        <v>2366</v>
      </c>
      <c r="K268" s="205">
        <f t="shared" ref="K268:K310" si="4">+A268-J268</f>
        <v>0</v>
      </c>
    </row>
    <row r="269" spans="1:11">
      <c r="A269" s="147">
        <v>7421</v>
      </c>
      <c r="B269" s="148" t="s">
        <v>256</v>
      </c>
      <c r="C269" s="60">
        <f>ROUND(VLOOKUP(A269,'Contribution Allocation_Report'!$A$9:$D$311,4,FALSE)*$C$312,0)</f>
        <v>676534</v>
      </c>
      <c r="D269" s="60">
        <f>ROUND(VLOOKUP(A269,'Contribution Allocation_Report'!$A$9:$D$311,4,FALSE)*$D$312,0)</f>
        <v>543646</v>
      </c>
      <c r="E269" s="60">
        <f>ROUND(VLOOKUP(A269,'Contribution Allocation_Report'!$A$9:$D$311,4,FALSE)*$E$312,0)</f>
        <v>437695</v>
      </c>
      <c r="J269" s="166">
        <v>7421</v>
      </c>
      <c r="K269" s="205">
        <f t="shared" si="4"/>
        <v>0</v>
      </c>
    </row>
    <row r="270" spans="1:11">
      <c r="A270" s="143">
        <v>1425</v>
      </c>
      <c r="B270" s="149" t="s">
        <v>534</v>
      </c>
      <c r="C270" s="61">
        <f>ROUND(VLOOKUP(A270,'Contribution Allocation_Report'!$A$9:$D$311,4,FALSE)*$C$312,0)</f>
        <v>34406</v>
      </c>
      <c r="D270" s="61">
        <f>ROUND(VLOOKUP(A270,'Contribution Allocation_Report'!$A$9:$D$311,4,FALSE)*$D$312,0)</f>
        <v>27648</v>
      </c>
      <c r="E270" s="61">
        <f>ROUND(VLOOKUP(A270,'Contribution Allocation_Report'!$A$9:$D$311,4,FALSE)*$E$312,0)</f>
        <v>22259</v>
      </c>
      <c r="J270" s="164">
        <v>1425</v>
      </c>
      <c r="K270" s="205">
        <f t="shared" si="4"/>
        <v>0</v>
      </c>
    </row>
    <row r="271" spans="1:11">
      <c r="A271" s="147">
        <v>2370</v>
      </c>
      <c r="B271" s="148" t="s">
        <v>257</v>
      </c>
      <c r="C271" s="60">
        <f>ROUND(VLOOKUP(A271,'Contribution Allocation_Report'!$A$9:$D$311,4,FALSE)*$C$312,0)</f>
        <v>1022377</v>
      </c>
      <c r="D271" s="60">
        <f>ROUND(VLOOKUP(A271,'Contribution Allocation_Report'!$A$9:$D$311,4,FALSE)*$D$312,0)</f>
        <v>821557</v>
      </c>
      <c r="E271" s="60">
        <f>ROUND(VLOOKUP(A271,'Contribution Allocation_Report'!$A$9:$D$311,4,FALSE)*$E$312,0)</f>
        <v>661443</v>
      </c>
      <c r="J271" s="166">
        <v>2370</v>
      </c>
      <c r="K271" s="205">
        <f t="shared" si="4"/>
        <v>0</v>
      </c>
    </row>
    <row r="272" spans="1:11">
      <c r="A272" s="143">
        <v>32094</v>
      </c>
      <c r="B272" s="149" t="s">
        <v>258</v>
      </c>
      <c r="C272" s="61">
        <f>ROUND(VLOOKUP(A272,'Contribution Allocation_Report'!$A$9:$D$311,4,FALSE)*$C$312,0)</f>
        <v>1207347</v>
      </c>
      <c r="D272" s="61">
        <f>ROUND(VLOOKUP(A272,'Contribution Allocation_Report'!$A$9:$D$311,4,FALSE)*$D$312,0)</f>
        <v>970194</v>
      </c>
      <c r="E272" s="61">
        <f>ROUND(VLOOKUP(A272,'Contribution Allocation_Report'!$A$9:$D$311,4,FALSE)*$E$312,0)</f>
        <v>781112</v>
      </c>
      <c r="J272" s="164">
        <v>32094</v>
      </c>
      <c r="K272" s="205">
        <f t="shared" si="4"/>
        <v>0</v>
      </c>
    </row>
    <row r="273" spans="1:11">
      <c r="A273" s="147">
        <v>2790</v>
      </c>
      <c r="B273" s="148" t="s">
        <v>259</v>
      </c>
      <c r="C273" s="60">
        <f>ROUND(VLOOKUP(A273,'Contribution Allocation_Report'!$A$9:$D$311,4,FALSE)*$C$312,0)</f>
        <v>128703</v>
      </c>
      <c r="D273" s="60">
        <f>ROUND(VLOOKUP(A273,'Contribution Allocation_Report'!$A$9:$D$311,4,FALSE)*$D$312,0)</f>
        <v>103423</v>
      </c>
      <c r="E273" s="60">
        <f>ROUND(VLOOKUP(A273,'Contribution Allocation_Report'!$A$9:$D$311,4,FALSE)*$E$312,0)</f>
        <v>83267</v>
      </c>
      <c r="J273" s="166">
        <v>2790</v>
      </c>
      <c r="K273" s="205">
        <f t="shared" si="4"/>
        <v>0</v>
      </c>
    </row>
    <row r="274" spans="1:11">
      <c r="A274" s="143">
        <v>3330</v>
      </c>
      <c r="B274" s="149" t="s">
        <v>260</v>
      </c>
      <c r="C274" s="61">
        <f>ROUND(VLOOKUP(A274,'Contribution Allocation_Report'!$A$9:$D$311,4,FALSE)*$C$312,0)</f>
        <v>2661084</v>
      </c>
      <c r="D274" s="61">
        <f>ROUND(VLOOKUP(A274,'Contribution Allocation_Report'!$A$9:$D$311,4,FALSE)*$D$312,0)</f>
        <v>2138382</v>
      </c>
      <c r="E274" s="61">
        <f>ROUND(VLOOKUP(A274,'Contribution Allocation_Report'!$A$9:$D$311,4,FALSE)*$E$312,0)</f>
        <v>1721631</v>
      </c>
      <c r="J274" s="164">
        <v>3330</v>
      </c>
      <c r="K274" s="205">
        <f t="shared" si="4"/>
        <v>0</v>
      </c>
    </row>
    <row r="275" spans="1:11">
      <c r="A275" s="147">
        <v>2080</v>
      </c>
      <c r="B275" s="148" t="s">
        <v>261</v>
      </c>
      <c r="C275" s="60">
        <f>ROUND(VLOOKUP(A275,'Contribution Allocation_Report'!$A$9:$D$311,4,FALSE)*$C$312,0)</f>
        <v>2953803</v>
      </c>
      <c r="D275" s="60">
        <f>ROUND(VLOOKUP(A275,'Contribution Allocation_Report'!$A$9:$D$311,4,FALSE)*$D$312,0)</f>
        <v>2373603</v>
      </c>
      <c r="E275" s="60">
        <f>ROUND(VLOOKUP(A275,'Contribution Allocation_Report'!$A$9:$D$311,4,FALSE)*$E$312,0)</f>
        <v>1911010</v>
      </c>
      <c r="J275" s="166">
        <v>2080</v>
      </c>
      <c r="K275" s="205">
        <f t="shared" si="4"/>
        <v>0</v>
      </c>
    </row>
    <row r="276" spans="1:11">
      <c r="A276" s="143">
        <v>4290</v>
      </c>
      <c r="B276" s="149" t="s">
        <v>262</v>
      </c>
      <c r="C276" s="61">
        <f>ROUND(VLOOKUP(A276,'Contribution Allocation_Report'!$A$9:$D$311,4,FALSE)*$C$312,0)</f>
        <v>984006</v>
      </c>
      <c r="D276" s="61">
        <f>ROUND(VLOOKUP(A276,'Contribution Allocation_Report'!$A$9:$D$311,4,FALSE)*$D$312,0)</f>
        <v>790723</v>
      </c>
      <c r="E276" s="61">
        <f>ROUND(VLOOKUP(A276,'Contribution Allocation_Report'!$A$9:$D$311,4,FALSE)*$E$312,0)</f>
        <v>636619</v>
      </c>
      <c r="J276" s="164">
        <v>4290</v>
      </c>
      <c r="K276" s="205">
        <f t="shared" si="4"/>
        <v>0</v>
      </c>
    </row>
    <row r="277" spans="1:11">
      <c r="A277" s="147">
        <v>2270</v>
      </c>
      <c r="B277" s="148" t="s">
        <v>263</v>
      </c>
      <c r="C277" s="60">
        <f>ROUND(VLOOKUP(A277,'Contribution Allocation_Report'!$A$9:$D$311,4,FALSE)*$C$312,0)</f>
        <v>48310</v>
      </c>
      <c r="D277" s="60">
        <f>ROUND(VLOOKUP(A277,'Contribution Allocation_Report'!$A$9:$D$311,4,FALSE)*$D$312,0)</f>
        <v>38821</v>
      </c>
      <c r="E277" s="60">
        <f>ROUND(VLOOKUP(A277,'Contribution Allocation_Report'!$A$9:$D$311,4,FALSE)*$E$312,0)</f>
        <v>31255</v>
      </c>
      <c r="J277" s="166">
        <v>2270</v>
      </c>
      <c r="K277" s="205">
        <f t="shared" si="4"/>
        <v>0</v>
      </c>
    </row>
    <row r="278" spans="1:11">
      <c r="A278" s="143">
        <v>2300</v>
      </c>
      <c r="B278" s="149" t="s">
        <v>264</v>
      </c>
      <c r="C278" s="61">
        <f>ROUND(VLOOKUP(A278,'Contribution Allocation_Report'!$A$9:$D$311,4,FALSE)*$C$312,0)</f>
        <v>283175</v>
      </c>
      <c r="D278" s="61">
        <f>ROUND(VLOOKUP(A278,'Contribution Allocation_Report'!$A$9:$D$311,4,FALSE)*$D$312,0)</f>
        <v>227553</v>
      </c>
      <c r="E278" s="61">
        <f>ROUND(VLOOKUP(A278,'Contribution Allocation_Report'!$A$9:$D$311,4,FALSE)*$E$312,0)</f>
        <v>183205</v>
      </c>
      <c r="J278" s="164">
        <v>2300</v>
      </c>
      <c r="K278" s="205">
        <f t="shared" si="4"/>
        <v>0</v>
      </c>
    </row>
    <row r="279" spans="1:11">
      <c r="A279" s="147">
        <v>2720</v>
      </c>
      <c r="B279" s="148" t="s">
        <v>265</v>
      </c>
      <c r="C279" s="60">
        <f>ROUND(VLOOKUP(A279,'Contribution Allocation_Report'!$A$9:$D$311,4,FALSE)*$C$312,0)</f>
        <v>3931523</v>
      </c>
      <c r="D279" s="60">
        <f>ROUND(VLOOKUP(A279,'Contribution Allocation_Report'!$A$9:$D$311,4,FALSE)*$D$312,0)</f>
        <v>3159275</v>
      </c>
      <c r="E279" s="60">
        <f>ROUND(VLOOKUP(A279,'Contribution Allocation_Report'!$A$9:$D$311,4,FALSE)*$E$312,0)</f>
        <v>2543562</v>
      </c>
      <c r="J279" s="166">
        <v>2720</v>
      </c>
      <c r="K279" s="205">
        <f t="shared" si="4"/>
        <v>0</v>
      </c>
    </row>
    <row r="280" spans="1:11">
      <c r="A280" s="143">
        <v>2750</v>
      </c>
      <c r="B280" s="149" t="s">
        <v>266</v>
      </c>
      <c r="C280" s="61">
        <f>ROUND(VLOOKUP(A280,'Contribution Allocation_Report'!$A$9:$D$311,4,FALSE)*$C$312,0)</f>
        <v>294729</v>
      </c>
      <c r="D280" s="61">
        <f>ROUND(VLOOKUP(A280,'Contribution Allocation_Report'!$A$9:$D$311,4,FALSE)*$D$312,0)</f>
        <v>236837</v>
      </c>
      <c r="E280" s="61">
        <f>ROUND(VLOOKUP(A280,'Contribution Allocation_Report'!$A$9:$D$311,4,FALSE)*$E$312,0)</f>
        <v>190680</v>
      </c>
      <c r="J280" s="164">
        <v>2750</v>
      </c>
      <c r="K280" s="205">
        <f t="shared" si="4"/>
        <v>0</v>
      </c>
    </row>
    <row r="281" spans="1:11">
      <c r="A281" s="147">
        <v>2770</v>
      </c>
      <c r="B281" s="148" t="s">
        <v>267</v>
      </c>
      <c r="C281" s="60">
        <f>ROUND(VLOOKUP(A281,'Contribution Allocation_Report'!$A$9:$D$311,4,FALSE)*$C$312,0)</f>
        <v>3322582</v>
      </c>
      <c r="D281" s="60">
        <f>ROUND(VLOOKUP(A281,'Contribution Allocation_Report'!$A$9:$D$311,4,FALSE)*$D$312,0)</f>
        <v>2669945</v>
      </c>
      <c r="E281" s="60">
        <f>ROUND(VLOOKUP(A281,'Contribution Allocation_Report'!$A$9:$D$311,4,FALSE)*$E$312,0)</f>
        <v>2149598</v>
      </c>
      <c r="J281" s="166">
        <v>2770</v>
      </c>
      <c r="K281" s="205">
        <f t="shared" si="4"/>
        <v>0</v>
      </c>
    </row>
    <row r="282" spans="1:11">
      <c r="A282" s="143">
        <v>32106</v>
      </c>
      <c r="B282" s="149" t="s">
        <v>268</v>
      </c>
      <c r="C282" s="61">
        <f>ROUND(VLOOKUP(A282,'Contribution Allocation_Report'!$A$9:$D$311,4,FALSE)*$C$312,0)</f>
        <v>414059</v>
      </c>
      <c r="D282" s="61">
        <f>ROUND(VLOOKUP(A282,'Contribution Allocation_Report'!$A$9:$D$311,4,FALSE)*$D$312,0)</f>
        <v>332728</v>
      </c>
      <c r="E282" s="61">
        <f>ROUND(VLOOKUP(A282,'Contribution Allocation_Report'!$A$9:$D$311,4,FALSE)*$E$312,0)</f>
        <v>267882</v>
      </c>
      <c r="J282" s="164">
        <v>32106</v>
      </c>
      <c r="K282" s="205">
        <f t="shared" si="4"/>
        <v>0</v>
      </c>
    </row>
    <row r="283" spans="1:11">
      <c r="A283" s="147">
        <v>4180</v>
      </c>
      <c r="B283" s="148" t="s">
        <v>269</v>
      </c>
      <c r="C283" s="60">
        <f>ROUND(VLOOKUP(A283,'Contribution Allocation_Report'!$A$9:$D$311,4,FALSE)*$C$312,0)</f>
        <v>405564</v>
      </c>
      <c r="D283" s="60">
        <f>ROUND(VLOOKUP(A283,'Contribution Allocation_Report'!$A$9:$D$311,4,FALSE)*$D$312,0)</f>
        <v>325901</v>
      </c>
      <c r="E283" s="60">
        <f>ROUND(VLOOKUP(A283,'Contribution Allocation_Report'!$A$9:$D$311,4,FALSE)*$E$312,0)</f>
        <v>262386</v>
      </c>
      <c r="J283" s="166">
        <v>4180</v>
      </c>
      <c r="K283" s="205">
        <f t="shared" si="4"/>
        <v>0</v>
      </c>
    </row>
    <row r="284" spans="1:11">
      <c r="A284" s="143">
        <v>21063</v>
      </c>
      <c r="B284" s="149" t="s">
        <v>270</v>
      </c>
      <c r="C284" s="61">
        <f>ROUND(VLOOKUP(A284,'Contribution Allocation_Report'!$A$9:$D$311,4,FALSE)*$C$312,0)</f>
        <v>5415589</v>
      </c>
      <c r="D284" s="61">
        <f>ROUND(VLOOKUP(A284,'Contribution Allocation_Report'!$A$9:$D$311,4,FALSE)*$D$312,0)</f>
        <v>4351833</v>
      </c>
      <c r="E284" s="61">
        <f>ROUND(VLOOKUP(A284,'Contribution Allocation_Report'!$A$9:$D$311,4,FALSE)*$E$312,0)</f>
        <v>3503702</v>
      </c>
      <c r="J284" s="164">
        <v>21063</v>
      </c>
      <c r="K284" s="205">
        <f t="shared" si="4"/>
        <v>0</v>
      </c>
    </row>
    <row r="285" spans="1:11">
      <c r="A285" s="147">
        <v>10033</v>
      </c>
      <c r="B285" s="148" t="s">
        <v>271</v>
      </c>
      <c r="C285" s="60">
        <f>ROUND(VLOOKUP(A285,'Contribution Allocation_Report'!$A$9:$D$311,4,FALSE)*$C$312,0)</f>
        <v>3746977</v>
      </c>
      <c r="D285" s="60">
        <f>ROUND(VLOOKUP(A285,'Contribution Allocation_Report'!$A$9:$D$311,4,FALSE)*$D$312,0)</f>
        <v>3010978</v>
      </c>
      <c r="E285" s="60">
        <f>ROUND(VLOOKUP(A285,'Contribution Allocation_Report'!$A$9:$D$311,4,FALSE)*$E$312,0)</f>
        <v>2424167</v>
      </c>
      <c r="J285" s="166">
        <v>10033</v>
      </c>
      <c r="K285" s="205">
        <f t="shared" si="4"/>
        <v>0</v>
      </c>
    </row>
    <row r="286" spans="1:11">
      <c r="A286" s="143">
        <v>15049</v>
      </c>
      <c r="B286" s="149" t="s">
        <v>272</v>
      </c>
      <c r="C286" s="61">
        <f>ROUND(VLOOKUP(A286,'Contribution Allocation_Report'!$A$9:$D$311,4,FALSE)*$C$312,0)</f>
        <v>3917421</v>
      </c>
      <c r="D286" s="61">
        <f>ROUND(VLOOKUP(A286,'Contribution Allocation_Report'!$A$9:$D$311,4,FALSE)*$D$312,0)</f>
        <v>3147942</v>
      </c>
      <c r="E286" s="61">
        <f>ROUND(VLOOKUP(A286,'Contribution Allocation_Report'!$A$9:$D$311,4,FALSE)*$E$312,0)</f>
        <v>2534438</v>
      </c>
      <c r="J286" s="164">
        <v>15049</v>
      </c>
      <c r="K286" s="205">
        <f t="shared" si="4"/>
        <v>0</v>
      </c>
    </row>
    <row r="287" spans="1:11">
      <c r="A287" s="147">
        <v>1315</v>
      </c>
      <c r="B287" s="148" t="s">
        <v>273</v>
      </c>
      <c r="C287" s="60">
        <f>ROUND(VLOOKUP(A287,'Contribution Allocation_Report'!$A$9:$D$311,4,FALSE)*$C$312,0)</f>
        <v>2559509</v>
      </c>
      <c r="D287" s="60">
        <f>ROUND(VLOOKUP(A287,'Contribution Allocation_Report'!$A$9:$D$311,4,FALSE)*$D$312,0)</f>
        <v>2056759</v>
      </c>
      <c r="E287" s="60">
        <f>ROUND(VLOOKUP(A287,'Contribution Allocation_Report'!$A$9:$D$311,4,FALSE)*$E$312,0)</f>
        <v>1655916</v>
      </c>
      <c r="J287" s="166">
        <v>1315</v>
      </c>
      <c r="K287" s="205">
        <f t="shared" si="4"/>
        <v>0</v>
      </c>
    </row>
    <row r="288" spans="1:11">
      <c r="A288" s="143">
        <v>3340</v>
      </c>
      <c r="B288" s="149" t="s">
        <v>274</v>
      </c>
      <c r="C288" s="61">
        <f>ROUND(VLOOKUP(A288,'Contribution Allocation_Report'!$A$9:$D$311,4,FALSE)*$C$312,0)</f>
        <v>999496</v>
      </c>
      <c r="D288" s="61">
        <f>ROUND(VLOOKUP(A288,'Contribution Allocation_Report'!$A$9:$D$311,4,FALSE)*$D$312,0)</f>
        <v>803170</v>
      </c>
      <c r="E288" s="61">
        <f>ROUND(VLOOKUP(A288,'Contribution Allocation_Report'!$A$9:$D$311,4,FALSE)*$E$312,0)</f>
        <v>646640</v>
      </c>
      <c r="J288" s="164">
        <v>3340</v>
      </c>
      <c r="K288" s="205">
        <f t="shared" si="4"/>
        <v>0</v>
      </c>
    </row>
    <row r="289" spans="1:11">
      <c r="A289" s="143">
        <v>3350</v>
      </c>
      <c r="B289" s="144" t="s">
        <v>275</v>
      </c>
      <c r="C289" s="78">
        <f>ROUND(VLOOKUP(A289,'Contribution Allocation_Report'!$A$9:$D$311,4,FALSE)*$C$312,0)</f>
        <v>6115202</v>
      </c>
      <c r="D289" s="78">
        <f>ROUND(VLOOKUP(A289,'Contribution Allocation_Report'!$A$9:$D$311,4,FALSE)*$D$312,0)</f>
        <v>4914025</v>
      </c>
      <c r="E289" s="78">
        <f>ROUND(VLOOKUP(A289,'Contribution Allocation_Report'!$A$9:$D$311,4,FALSE)*$E$312,0)</f>
        <v>3956328</v>
      </c>
      <c r="J289" s="166">
        <v>3350</v>
      </c>
      <c r="K289" s="205">
        <f t="shared" si="4"/>
        <v>0</v>
      </c>
    </row>
    <row r="290" spans="1:11">
      <c r="A290" s="147">
        <v>24073</v>
      </c>
      <c r="B290" s="148" t="s">
        <v>276</v>
      </c>
      <c r="C290" s="60">
        <f>ROUND(VLOOKUP(A290,'Contribution Allocation_Report'!$A$9:$D$311,4,FALSE)*$C$312,0)</f>
        <v>631255</v>
      </c>
      <c r="D290" s="60">
        <f>ROUND(VLOOKUP(A290,'Contribution Allocation_Report'!$A$9:$D$311,4,FALSE)*$D$312,0)</f>
        <v>507261</v>
      </c>
      <c r="E290" s="60">
        <f>ROUND(VLOOKUP(A290,'Contribution Allocation_Report'!$A$9:$D$311,4,FALSE)*$E$312,0)</f>
        <v>408400</v>
      </c>
      <c r="J290" s="164">
        <v>24073</v>
      </c>
      <c r="K290" s="205">
        <f t="shared" si="4"/>
        <v>0</v>
      </c>
    </row>
    <row r="291" spans="1:11">
      <c r="A291" s="143">
        <v>2100</v>
      </c>
      <c r="B291" s="149" t="s">
        <v>277</v>
      </c>
      <c r="C291" s="61">
        <f>ROUND(VLOOKUP(A291,'Contribution Allocation_Report'!$A$9:$D$311,4,FALSE)*$C$312,0)</f>
        <v>838567</v>
      </c>
      <c r="D291" s="61">
        <f>ROUND(VLOOKUP(A291,'Contribution Allocation_Report'!$A$9:$D$311,4,FALSE)*$D$312,0)</f>
        <v>673852</v>
      </c>
      <c r="E291" s="61">
        <f>ROUND(VLOOKUP(A291,'Contribution Allocation_Report'!$A$9:$D$311,4,FALSE)*$E$312,0)</f>
        <v>542525</v>
      </c>
      <c r="J291" s="166">
        <v>2100</v>
      </c>
      <c r="K291" s="205">
        <f t="shared" si="4"/>
        <v>0</v>
      </c>
    </row>
    <row r="292" spans="1:11">
      <c r="A292" s="147">
        <v>2130</v>
      </c>
      <c r="B292" s="148" t="s">
        <v>278</v>
      </c>
      <c r="C292" s="60">
        <f>ROUND(VLOOKUP(A292,'Contribution Allocation_Report'!$A$9:$D$311,4,FALSE)*$C$312,0)</f>
        <v>253697</v>
      </c>
      <c r="D292" s="60">
        <f>ROUND(VLOOKUP(A292,'Contribution Allocation_Report'!$A$9:$D$311,4,FALSE)*$D$312,0)</f>
        <v>203865</v>
      </c>
      <c r="E292" s="60">
        <f>ROUND(VLOOKUP(A292,'Contribution Allocation_Report'!$A$9:$D$311,4,FALSE)*$E$312,0)</f>
        <v>164133</v>
      </c>
      <c r="J292" s="164">
        <v>2130</v>
      </c>
      <c r="K292" s="205">
        <f t="shared" si="4"/>
        <v>0</v>
      </c>
    </row>
    <row r="293" spans="1:11">
      <c r="A293" s="143">
        <v>32099</v>
      </c>
      <c r="B293" s="149" t="s">
        <v>279</v>
      </c>
      <c r="C293" s="61">
        <f>ROUND(VLOOKUP(A293,'Contribution Allocation_Report'!$A$9:$D$311,4,FALSE)*$C$312,0)</f>
        <v>302715</v>
      </c>
      <c r="D293" s="61">
        <f>ROUND(VLOOKUP(A293,'Contribution Allocation_Report'!$A$9:$D$311,4,FALSE)*$D$312,0)</f>
        <v>243254</v>
      </c>
      <c r="E293" s="61">
        <f>ROUND(VLOOKUP(A293,'Contribution Allocation_Report'!$A$9:$D$311,4,FALSE)*$E$312,0)</f>
        <v>195846</v>
      </c>
      <c r="J293" s="166">
        <v>32099</v>
      </c>
      <c r="K293" s="205">
        <f t="shared" si="4"/>
        <v>0</v>
      </c>
    </row>
    <row r="294" spans="1:11">
      <c r="A294" s="147">
        <v>32100</v>
      </c>
      <c r="B294" s="148" t="s">
        <v>280</v>
      </c>
      <c r="C294" s="60">
        <f>ROUND(VLOOKUP(A294,'Contribution Allocation_Report'!$A$9:$D$311,4,FALSE)*$C$312,0)</f>
        <v>642015</v>
      </c>
      <c r="D294" s="60">
        <f>ROUND(VLOOKUP(A294,'Contribution Allocation_Report'!$A$9:$D$311,4,FALSE)*$D$312,0)</f>
        <v>515908</v>
      </c>
      <c r="E294" s="60">
        <f>ROUND(VLOOKUP(A294,'Contribution Allocation_Report'!$A$9:$D$311,4,FALSE)*$E$312,0)</f>
        <v>415362</v>
      </c>
      <c r="J294" s="164">
        <v>32100</v>
      </c>
      <c r="K294" s="205">
        <f t="shared" si="4"/>
        <v>0</v>
      </c>
    </row>
    <row r="295" spans="1:11">
      <c r="A295" s="143">
        <v>32101</v>
      </c>
      <c r="B295" s="149" t="s">
        <v>281</v>
      </c>
      <c r="C295" s="61">
        <f>ROUND(VLOOKUP(A295,'Contribution Allocation_Report'!$A$9:$D$311,4,FALSE)*$C$312,0)</f>
        <v>183413</v>
      </c>
      <c r="D295" s="61">
        <f>ROUND(VLOOKUP(A295,'Contribution Allocation_Report'!$A$9:$D$311,4,FALSE)*$D$312,0)</f>
        <v>147386</v>
      </c>
      <c r="E295" s="61">
        <f>ROUND(VLOOKUP(A295,'Contribution Allocation_Report'!$A$9:$D$311,4,FALSE)*$E$312,0)</f>
        <v>118662</v>
      </c>
      <c r="J295" s="166">
        <v>32101</v>
      </c>
      <c r="K295" s="205">
        <f t="shared" si="4"/>
        <v>0</v>
      </c>
    </row>
    <row r="296" spans="1:11">
      <c r="A296" s="147">
        <v>32102</v>
      </c>
      <c r="B296" s="148" t="s">
        <v>282</v>
      </c>
      <c r="C296" s="60">
        <f>ROUND(VLOOKUP(A296,'Contribution Allocation_Report'!$A$9:$D$311,4,FALSE)*$C$312,0)</f>
        <v>344086</v>
      </c>
      <c r="D296" s="60">
        <f>ROUND(VLOOKUP(A296,'Contribution Allocation_Report'!$A$9:$D$311,4,FALSE)*$D$312,0)</f>
        <v>276499</v>
      </c>
      <c r="E296" s="60">
        <f>ROUND(VLOOKUP(A296,'Contribution Allocation_Report'!$A$9:$D$311,4,FALSE)*$E$312,0)</f>
        <v>222612</v>
      </c>
      <c r="J296" s="164">
        <v>32102</v>
      </c>
      <c r="K296" s="205">
        <f t="shared" si="4"/>
        <v>0</v>
      </c>
    </row>
    <row r="297" spans="1:11">
      <c r="A297" s="143">
        <v>2880</v>
      </c>
      <c r="B297" s="149" t="s">
        <v>283</v>
      </c>
      <c r="C297" s="61">
        <f>ROUND(VLOOKUP(A297,'Contribution Allocation_Report'!$A$9:$D$311,4,FALSE)*$C$312,0)</f>
        <v>103557</v>
      </c>
      <c r="D297" s="61">
        <f>ROUND(VLOOKUP(A297,'Contribution Allocation_Report'!$A$9:$D$311,4,FALSE)*$D$312,0)</f>
        <v>83216</v>
      </c>
      <c r="E297" s="61">
        <f>ROUND(VLOOKUP(A297,'Contribution Allocation_Report'!$A$9:$D$311,4,FALSE)*$E$312,0)</f>
        <v>66998</v>
      </c>
      <c r="J297" s="166">
        <v>2880</v>
      </c>
      <c r="K297" s="205">
        <f t="shared" si="4"/>
        <v>0</v>
      </c>
    </row>
    <row r="298" spans="1:11">
      <c r="A298" s="147">
        <v>2490</v>
      </c>
      <c r="B298" s="148" t="s">
        <v>284</v>
      </c>
      <c r="C298" s="60">
        <f>ROUND(VLOOKUP(A298,'Contribution Allocation_Report'!$A$9:$D$311,4,FALSE)*$C$312,0)</f>
        <v>765423</v>
      </c>
      <c r="D298" s="60">
        <f>ROUND(VLOOKUP(A298,'Contribution Allocation_Report'!$A$9:$D$311,4,FALSE)*$D$312,0)</f>
        <v>615075</v>
      </c>
      <c r="E298" s="60">
        <f>ROUND(VLOOKUP(A298,'Contribution Allocation_Report'!$A$9:$D$311,4,FALSE)*$E$312,0)</f>
        <v>495203</v>
      </c>
      <c r="J298" s="164">
        <v>2490</v>
      </c>
      <c r="K298" s="205">
        <f t="shared" si="4"/>
        <v>0</v>
      </c>
    </row>
    <row r="299" spans="1:11">
      <c r="A299" s="143">
        <v>2530</v>
      </c>
      <c r="B299" s="149" t="s">
        <v>285</v>
      </c>
      <c r="C299" s="61">
        <f>ROUND(VLOOKUP(A299,'Contribution Allocation_Report'!$A$9:$D$311,4,FALSE)*$C$312,0)</f>
        <v>168319</v>
      </c>
      <c r="D299" s="61">
        <f>ROUND(VLOOKUP(A299,'Contribution Allocation_Report'!$A$9:$D$311,4,FALSE)*$D$312,0)</f>
        <v>135257</v>
      </c>
      <c r="E299" s="61">
        <f>ROUND(VLOOKUP(A299,'Contribution Allocation_Report'!$A$9:$D$311,4,FALSE)*$E$312,0)</f>
        <v>108897</v>
      </c>
      <c r="J299" s="166">
        <v>2530</v>
      </c>
      <c r="K299" s="205">
        <f t="shared" si="4"/>
        <v>0</v>
      </c>
    </row>
    <row r="300" spans="1:11">
      <c r="A300" s="147">
        <v>2560</v>
      </c>
      <c r="B300" s="148" t="s">
        <v>286</v>
      </c>
      <c r="C300" s="60">
        <f>ROUND(VLOOKUP(A300,'Contribution Allocation_Report'!$A$9:$D$311,4,FALSE)*$C$312,0)</f>
        <v>266072</v>
      </c>
      <c r="D300" s="60">
        <f>ROUND(VLOOKUP(A300,'Contribution Allocation_Report'!$A$9:$D$311,4,FALSE)*$D$312,0)</f>
        <v>213809</v>
      </c>
      <c r="E300" s="60">
        <f>ROUND(VLOOKUP(A300,'Contribution Allocation_Report'!$A$9:$D$311,4,FALSE)*$E$312,0)</f>
        <v>172139</v>
      </c>
      <c r="J300" s="164">
        <v>2560</v>
      </c>
      <c r="K300" s="205">
        <f t="shared" si="4"/>
        <v>0</v>
      </c>
    </row>
    <row r="301" spans="1:11">
      <c r="A301" s="143">
        <v>2610</v>
      </c>
      <c r="B301" s="149" t="s">
        <v>287</v>
      </c>
      <c r="C301" s="61">
        <f>ROUND(VLOOKUP(A301,'Contribution Allocation_Report'!$A$9:$D$311,4,FALSE)*$C$312,0)</f>
        <v>85038</v>
      </c>
      <c r="D301" s="61">
        <f>ROUND(VLOOKUP(A301,'Contribution Allocation_Report'!$A$9:$D$311,4,FALSE)*$D$312,0)</f>
        <v>68334</v>
      </c>
      <c r="E301" s="61">
        <f>ROUND(VLOOKUP(A301,'Contribution Allocation_Report'!$A$9:$D$311,4,FALSE)*$E$312,0)</f>
        <v>55016</v>
      </c>
      <c r="J301" s="166">
        <v>2610</v>
      </c>
      <c r="K301" s="205">
        <f t="shared" si="4"/>
        <v>0</v>
      </c>
    </row>
    <row r="302" spans="1:11">
      <c r="A302" s="147">
        <v>2800</v>
      </c>
      <c r="B302" s="148" t="s">
        <v>288</v>
      </c>
      <c r="C302" s="60">
        <f>ROUND(VLOOKUP(A302,'Contribution Allocation_Report'!$A$9:$D$311,4,FALSE)*$C$312,0)</f>
        <v>263013</v>
      </c>
      <c r="D302" s="60">
        <f>ROUND(VLOOKUP(A302,'Contribution Allocation_Report'!$A$9:$D$311,4,FALSE)*$D$312,0)</f>
        <v>211351</v>
      </c>
      <c r="E302" s="60">
        <f>ROUND(VLOOKUP(A302,'Contribution Allocation_Report'!$A$9:$D$311,4,FALSE)*$E$312,0)</f>
        <v>170161</v>
      </c>
      <c r="J302" s="164">
        <v>2800</v>
      </c>
      <c r="K302" s="205">
        <f t="shared" si="4"/>
        <v>0</v>
      </c>
    </row>
    <row r="303" spans="1:11">
      <c r="A303" s="143">
        <v>20317</v>
      </c>
      <c r="B303" s="149" t="s">
        <v>289</v>
      </c>
      <c r="C303" s="61">
        <f>ROUND(VLOOKUP(A303,'Contribution Allocation_Report'!$A$9:$D$311,4,FALSE)*$C$312,0)</f>
        <v>529368</v>
      </c>
      <c r="D303" s="61">
        <f>ROUND(VLOOKUP(A303,'Contribution Allocation_Report'!$A$9:$D$311,4,FALSE)*$D$312,0)</f>
        <v>425387</v>
      </c>
      <c r="E303" s="61">
        <f>ROUND(VLOOKUP(A303,'Contribution Allocation_Report'!$A$9:$D$311,4,FALSE)*$E$312,0)</f>
        <v>342483</v>
      </c>
      <c r="J303" s="166">
        <v>20317</v>
      </c>
      <c r="K303" s="205">
        <f t="shared" si="4"/>
        <v>0</v>
      </c>
    </row>
    <row r="304" spans="1:11">
      <c r="A304" s="147">
        <v>2442</v>
      </c>
      <c r="B304" s="148" t="s">
        <v>444</v>
      </c>
      <c r="C304" s="60">
        <f>ROUND(VLOOKUP(A304,'Contribution Allocation_Report'!$A$9:$D$311,4,FALSE)*$C$312,0)</f>
        <v>167130</v>
      </c>
      <c r="D304" s="60">
        <f>ROUND(VLOOKUP(A304,'Contribution Allocation_Report'!$A$9:$D$311,4,FALSE)*$D$312,0)</f>
        <v>134302</v>
      </c>
      <c r="E304" s="60">
        <f>ROUND(VLOOKUP(A304,'Contribution Allocation_Report'!$A$9:$D$311,4,FALSE)*$E$312,0)</f>
        <v>108128</v>
      </c>
      <c r="J304" s="164">
        <v>2442</v>
      </c>
      <c r="K304" s="205">
        <f t="shared" si="4"/>
        <v>0</v>
      </c>
    </row>
    <row r="305" spans="1:11">
      <c r="A305" s="143">
        <v>30090</v>
      </c>
      <c r="B305" s="149" t="s">
        <v>290</v>
      </c>
      <c r="C305" s="61">
        <f>ROUND(VLOOKUP(A305,'Contribution Allocation_Report'!$A$9:$D$311,4,FALSE)*$C$312,0)</f>
        <v>781253</v>
      </c>
      <c r="D305" s="61">
        <f>ROUND(VLOOKUP(A305,'Contribution Allocation_Report'!$A$9:$D$311,4,FALSE)*$D$312,0)</f>
        <v>627795</v>
      </c>
      <c r="E305" s="61">
        <f>ROUND(VLOOKUP(A305,'Contribution Allocation_Report'!$A$9:$D$311,4,FALSE)*$E$312,0)</f>
        <v>505444</v>
      </c>
      <c r="J305" s="166">
        <v>30090</v>
      </c>
      <c r="K305" s="205">
        <f t="shared" si="4"/>
        <v>0</v>
      </c>
    </row>
    <row r="306" spans="1:11">
      <c r="A306" s="147">
        <v>29330</v>
      </c>
      <c r="B306" s="148" t="s">
        <v>291</v>
      </c>
      <c r="C306" s="60">
        <f>ROUND(VLOOKUP(A306,'Contribution Allocation_Report'!$A$9:$D$311,4,FALSE)*$C$312,0)</f>
        <v>334600</v>
      </c>
      <c r="D306" s="60">
        <f>ROUND(VLOOKUP(A306,'Contribution Allocation_Report'!$A$9:$D$311,4,FALSE)*$D$312,0)</f>
        <v>268876</v>
      </c>
      <c r="E306" s="60">
        <f>ROUND(VLOOKUP(A306,'Contribution Allocation_Report'!$A$9:$D$311,4,FALSE)*$E$312,0)</f>
        <v>216475</v>
      </c>
      <c r="J306" s="164">
        <v>29330</v>
      </c>
      <c r="K306" s="205">
        <f t="shared" si="4"/>
        <v>0</v>
      </c>
    </row>
    <row r="307" spans="1:11">
      <c r="A307" s="143">
        <v>12038</v>
      </c>
      <c r="B307" s="149" t="s">
        <v>292</v>
      </c>
      <c r="C307" s="61">
        <f>ROUND(VLOOKUP(A307,'Contribution Allocation_Report'!$A$9:$D$311,4,FALSE)*$C$312,0)</f>
        <v>7216018</v>
      </c>
      <c r="D307" s="61">
        <f>ROUND(VLOOKUP(A307,'Contribution Allocation_Report'!$A$9:$D$311,4,FALSE)*$D$312,0)</f>
        <v>5798614</v>
      </c>
      <c r="E307" s="61">
        <f>ROUND(VLOOKUP(A307,'Contribution Allocation_Report'!$A$9:$D$311,4,FALSE)*$E$312,0)</f>
        <v>4668519</v>
      </c>
      <c r="J307" s="166">
        <v>12038</v>
      </c>
      <c r="K307" s="205">
        <f t="shared" si="4"/>
        <v>0</v>
      </c>
    </row>
    <row r="308" spans="1:11">
      <c r="A308" s="147">
        <v>8099</v>
      </c>
      <c r="B308" s="148" t="s">
        <v>293</v>
      </c>
      <c r="C308" s="60">
        <f>ROUND(VLOOKUP(A308,'Contribution Allocation_Report'!$A$9:$D$311,4,FALSE)*$C$312,0)</f>
        <v>11907782</v>
      </c>
      <c r="D308" s="60">
        <f>ROUND(VLOOKUP(A308,'Contribution Allocation_Report'!$A$9:$D$311,4,FALSE)*$D$312,0)</f>
        <v>9568799</v>
      </c>
      <c r="E308" s="60">
        <f>ROUND(VLOOKUP(A308,'Contribution Allocation_Report'!$A$9:$D$311,4,FALSE)*$E$312,0)</f>
        <v>7703931</v>
      </c>
      <c r="J308" s="164">
        <v>8099</v>
      </c>
      <c r="K308" s="205">
        <f t="shared" si="4"/>
        <v>0</v>
      </c>
    </row>
    <row r="309" spans="1:11">
      <c r="A309" s="143">
        <v>2417</v>
      </c>
      <c r="B309" s="149" t="s">
        <v>294</v>
      </c>
      <c r="C309" s="61">
        <f>ROUND(VLOOKUP(A309,'Contribution Allocation_Report'!$A$9:$D$311,4,FALSE)*$C$312,0)</f>
        <v>251771</v>
      </c>
      <c r="D309" s="61">
        <f>ROUND(VLOOKUP(A309,'Contribution Allocation_Report'!$A$9:$D$311,4,FALSE)*$D$312,0)</f>
        <v>202317</v>
      </c>
      <c r="E309" s="61">
        <f>ROUND(VLOOKUP(A309,'Contribution Allocation_Report'!$A$9:$D$311,4,FALSE)*$E$312,0)</f>
        <v>162887</v>
      </c>
      <c r="J309" s="166">
        <v>2417</v>
      </c>
      <c r="K309" s="205">
        <f t="shared" si="4"/>
        <v>0</v>
      </c>
    </row>
    <row r="310" spans="1:11">
      <c r="A310" s="147">
        <v>13142</v>
      </c>
      <c r="B310" s="148" t="s">
        <v>295</v>
      </c>
      <c r="C310" s="51">
        <f>ROUND(VLOOKUP(A310,'Contribution Allocation_Report'!$A$9:$D$311,4,FALSE)*$C$312,0)</f>
        <v>7519837</v>
      </c>
      <c r="D310" s="51">
        <f>ROUND(VLOOKUP(A310,'Contribution Allocation_Report'!$A$9:$D$311,4,FALSE)*$D$312,0)</f>
        <v>6042755</v>
      </c>
      <c r="E310" s="51">
        <f>ROUND(VLOOKUP(A310,'Contribution Allocation_Report'!$A$9:$D$311,4,FALSE)*$E$312,0)</f>
        <v>4865079</v>
      </c>
      <c r="J310" s="164">
        <v>13142</v>
      </c>
      <c r="K310" s="205">
        <f t="shared" si="4"/>
        <v>0</v>
      </c>
    </row>
    <row r="311" spans="1:11">
      <c r="A311" s="188"/>
      <c r="B311" s="177"/>
      <c r="C311" s="195"/>
      <c r="D311" s="1"/>
      <c r="E311" s="177"/>
    </row>
    <row r="312" spans="1:11" ht="15.75" thickBot="1">
      <c r="A312" s="188"/>
      <c r="B312" s="197"/>
      <c r="C312" s="133">
        <v>2876647742</v>
      </c>
      <c r="D312" s="133">
        <v>2311603052</v>
      </c>
      <c r="E312" s="133">
        <v>1861093455</v>
      </c>
      <c r="J312" s="164"/>
      <c r="K312" s="205"/>
    </row>
    <row r="313" spans="1:11" ht="15.75" thickTop="1">
      <c r="B313" s="197"/>
      <c r="C313" s="8"/>
      <c r="D313" s="8"/>
      <c r="E313" s="8"/>
      <c r="J313" s="166"/>
      <c r="K313" s="205"/>
    </row>
    <row r="314" spans="1:11">
      <c r="A314" s="188"/>
      <c r="B314" s="197"/>
      <c r="C314" s="8"/>
      <c r="D314" s="8"/>
      <c r="E314" s="8"/>
      <c r="J314" s="164"/>
      <c r="K314" s="205"/>
    </row>
    <row r="315" spans="1:11">
      <c r="C315" s="206"/>
      <c r="D315" s="206"/>
      <c r="E315" s="206"/>
      <c r="J315" s="166"/>
      <c r="K315" s="205"/>
    </row>
    <row r="316" spans="1:11">
      <c r="C316" s="207"/>
      <c r="D316" s="207"/>
      <c r="E316" s="207"/>
      <c r="J316" s="164"/>
      <c r="K316" s="205"/>
    </row>
    <row r="317" spans="1:11">
      <c r="C317" s="69">
        <f>+SUM(C8:C310)-C312</f>
        <v>0</v>
      </c>
      <c r="D317" s="69">
        <f>+SUM(D8:D310)-D312</f>
        <v>0</v>
      </c>
      <c r="E317" s="69">
        <f>+SUM(E8:E310)-E312</f>
        <v>0</v>
      </c>
      <c r="J317" s="166"/>
      <c r="K317" s="205"/>
    </row>
    <row r="318" spans="1:11">
      <c r="J318" s="164"/>
      <c r="K318" s="205"/>
    </row>
    <row r="319" spans="1:11">
      <c r="J319" s="166"/>
      <c r="K319" s="205"/>
    </row>
    <row r="320" spans="1:11">
      <c r="J320" s="164"/>
      <c r="K320" s="205"/>
    </row>
    <row r="321" spans="10:11">
      <c r="J321" s="164"/>
      <c r="K321" s="205"/>
    </row>
    <row r="323" spans="10:11">
      <c r="K323" s="205">
        <f t="shared" ref="K323" si="5">+A323-J323</f>
        <v>0</v>
      </c>
    </row>
  </sheetData>
  <mergeCells count="3">
    <mergeCell ref="A1:E1"/>
    <mergeCell ref="A2:E2"/>
    <mergeCell ref="A3:E3"/>
  </mergeCells>
  <printOptions horizontalCentered="1"/>
  <pageMargins left="0.7" right="0.7" top="0.5" bottom="0.5" header="0.5" footer="0.45"/>
  <pageSetup scale="55" firstPageNumber="29" fitToHeight="0" orientation="portrait" useFirstPageNumber="1" r:id="rId1"/>
  <headerFooter scaleWithDoc="0">
    <oddFooter>&amp;C&amp;"Arial,Regular"&amp;10&amp;P</oddFooter>
    <evenFooter>&amp;R&amp;"Arial,Regular"&amp;10&amp;P</evenFooter>
  </headerFooter>
  <rowBreaks count="4" manualBreakCount="4">
    <brk id="78" max="4" man="1"/>
    <brk id="148" max="4" man="1"/>
    <brk id="217" max="4" man="1"/>
    <brk id="288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2977-FB5D-4961-B4A3-5FEA964FDE5F}">
  <sheetPr>
    <tabColor rgb="FF92D050"/>
  </sheetPr>
  <dimension ref="A1:K323"/>
  <sheetViews>
    <sheetView view="pageBreakPreview" topLeftCell="A215" zoomScaleNormal="100" zoomScaleSheetLayoutView="100" workbookViewId="0">
      <selection activeCell="A234" sqref="A234:XFD234"/>
    </sheetView>
  </sheetViews>
  <sheetFormatPr defaultColWidth="9.28515625" defaultRowHeight="15"/>
  <cols>
    <col min="1" max="1" width="13.5703125" style="62" customWidth="1"/>
    <col min="2" max="2" width="76.28515625" style="62" bestFit="1" customWidth="1"/>
    <col min="3" max="5" width="15" style="62" customWidth="1"/>
    <col min="6" max="6" width="2" style="132" customWidth="1"/>
    <col min="7" max="16384" width="9.28515625" style="132"/>
  </cols>
  <sheetData>
    <row r="1" spans="1:11" ht="18">
      <c r="A1" s="257" t="s">
        <v>391</v>
      </c>
      <c r="B1" s="257"/>
      <c r="C1" s="257"/>
      <c r="D1" s="257"/>
      <c r="E1" s="257"/>
    </row>
    <row r="2" spans="1:11" ht="15.75">
      <c r="A2" s="258" t="s">
        <v>396</v>
      </c>
      <c r="B2" s="258"/>
      <c r="C2" s="258"/>
      <c r="D2" s="258"/>
      <c r="E2" s="258"/>
    </row>
    <row r="3" spans="1:11" ht="15.75">
      <c r="A3" s="261" t="s">
        <v>553</v>
      </c>
      <c r="B3" s="258"/>
      <c r="C3" s="258"/>
      <c r="D3" s="258"/>
      <c r="E3" s="258"/>
    </row>
    <row r="5" spans="1:11" ht="59.1" customHeight="1">
      <c r="A5" s="178" t="s">
        <v>0</v>
      </c>
      <c r="B5" s="179" t="s">
        <v>1</v>
      </c>
      <c r="C5" s="178" t="s">
        <v>328</v>
      </c>
      <c r="D5" s="178" t="s">
        <v>560</v>
      </c>
      <c r="E5" s="178" t="s">
        <v>329</v>
      </c>
    </row>
    <row r="6" spans="1:11">
      <c r="A6" s="183"/>
      <c r="B6" s="183"/>
      <c r="C6" s="183" t="s">
        <v>425</v>
      </c>
      <c r="D6" s="183" t="s">
        <v>432</v>
      </c>
      <c r="E6" s="183" t="s">
        <v>467</v>
      </c>
    </row>
    <row r="7" spans="1:11">
      <c r="A7" s="183"/>
      <c r="B7" s="183"/>
      <c r="C7" s="183"/>
      <c r="D7" s="183"/>
      <c r="E7" s="183"/>
    </row>
    <row r="8" spans="1:11">
      <c r="A8" s="143">
        <v>1341</v>
      </c>
      <c r="B8" s="144" t="s">
        <v>5</v>
      </c>
      <c r="C8" s="78">
        <f>ROUND(VLOOKUP(A8,'Contribution Allocation_Report'!$A$9:$D$311,4,FALSE)*$C$312,0)</f>
        <v>442331206</v>
      </c>
      <c r="D8" s="78">
        <f>ROUND(VLOOKUP(A8,'Contribution Allocation_Report'!$A$9:$D$308,4,FALSE)*$D$312,0)-2</f>
        <v>552044291</v>
      </c>
      <c r="E8" s="78">
        <f>ROUND(VLOOKUP(A8,'Contribution Allocation_Report'!$A$9:$D$308,4,FALSE)*$E$312,0)-6</f>
        <v>645548566</v>
      </c>
      <c r="H8" s="39"/>
      <c r="J8" s="164">
        <v>1341</v>
      </c>
      <c r="K8" s="205">
        <f>+A8-J8</f>
        <v>0</v>
      </c>
    </row>
    <row r="9" spans="1:11">
      <c r="A9" s="147">
        <v>2308</v>
      </c>
      <c r="B9" s="148" t="s">
        <v>6</v>
      </c>
      <c r="C9" s="60">
        <f>ROUND(VLOOKUP(A9,'Contribution Allocation_Report'!$A$9:$D$311,4,FALSE)*$C$312,0)</f>
        <v>836817</v>
      </c>
      <c r="D9" s="60">
        <f>ROUND(VLOOKUP(A9,'Contribution Allocation_Report'!$A$9:$D$311,4,FALSE)*$D$312,0)</f>
        <v>1044376</v>
      </c>
      <c r="E9" s="60">
        <f>ROUND(VLOOKUP(A9,'Contribution Allocation_Report'!$A$9:$D$311,4,FALSE)*$E$312,0)</f>
        <v>1221271</v>
      </c>
      <c r="H9" s="39"/>
      <c r="J9" s="166">
        <v>2308</v>
      </c>
      <c r="K9" s="205">
        <f t="shared" ref="K9:K72" si="0">+A9-J9</f>
        <v>0</v>
      </c>
    </row>
    <row r="10" spans="1:11">
      <c r="A10" s="143">
        <v>2340</v>
      </c>
      <c r="B10" s="149" t="s">
        <v>7</v>
      </c>
      <c r="C10" s="61">
        <f>ROUND(VLOOKUP(A10,'Contribution Allocation_Report'!$A$9:$D$311,4,FALSE)*$C$312,0)</f>
        <v>741368</v>
      </c>
      <c r="D10" s="61">
        <f>ROUND(VLOOKUP(A10,'Contribution Allocation_Report'!$A$9:$D$311,4,FALSE)*$D$312,0)</f>
        <v>925252</v>
      </c>
      <c r="E10" s="61">
        <f>ROUND(VLOOKUP(A10,'Contribution Allocation_Report'!$A$9:$D$311,4,FALSE)*$E$312,0)</f>
        <v>1081970</v>
      </c>
      <c r="H10" s="39"/>
      <c r="J10" s="164">
        <v>2340</v>
      </c>
      <c r="K10" s="205">
        <f t="shared" si="0"/>
        <v>0</v>
      </c>
    </row>
    <row r="11" spans="1:11">
      <c r="A11" s="147">
        <v>1301</v>
      </c>
      <c r="B11" s="148" t="s">
        <v>8</v>
      </c>
      <c r="C11" s="60">
        <f>ROUND(VLOOKUP(A11,'Contribution Allocation_Report'!$A$9:$D$311,4,FALSE)*$C$312,0)</f>
        <v>868251</v>
      </c>
      <c r="D11" s="60">
        <f>ROUND(VLOOKUP(A11,'Contribution Allocation_Report'!$A$9:$D$311,4,FALSE)*$D$312,0)</f>
        <v>1083606</v>
      </c>
      <c r="E11" s="60">
        <f>ROUND(VLOOKUP(A11,'Contribution Allocation_Report'!$A$9:$D$311,4,FALSE)*$E$312,0)</f>
        <v>1267146</v>
      </c>
      <c r="H11" s="39"/>
      <c r="J11" s="166">
        <v>1301</v>
      </c>
      <c r="K11" s="205">
        <f t="shared" si="0"/>
        <v>0</v>
      </c>
    </row>
    <row r="12" spans="1:11">
      <c r="A12" s="143">
        <v>2390</v>
      </c>
      <c r="B12" s="149" t="s">
        <v>9</v>
      </c>
      <c r="C12" s="61">
        <f>ROUND(VLOOKUP(A12,'Contribution Allocation_Report'!$A$9:$D$311,4,FALSE)*$C$312,0)</f>
        <v>602743</v>
      </c>
      <c r="D12" s="61">
        <f>ROUND(VLOOKUP(A12,'Contribution Allocation_Report'!$A$9:$D$311,4,FALSE)*$D$312,0)</f>
        <v>752244</v>
      </c>
      <c r="E12" s="61">
        <f>ROUND(VLOOKUP(A12,'Contribution Allocation_Report'!$A$9:$D$311,4,FALSE)*$E$312,0)</f>
        <v>879658</v>
      </c>
      <c r="H12" s="39"/>
      <c r="J12" s="164">
        <v>2390</v>
      </c>
      <c r="K12" s="205">
        <f t="shared" si="0"/>
        <v>0</v>
      </c>
    </row>
    <row r="13" spans="1:11">
      <c r="A13" s="147">
        <v>2441</v>
      </c>
      <c r="B13" s="148" t="s">
        <v>437</v>
      </c>
      <c r="C13" s="60">
        <f>ROUND(VLOOKUP(A13,'Contribution Allocation_Report'!$A$9:$D$311,4,FALSE)*$C$312,0)</f>
        <v>169894</v>
      </c>
      <c r="D13" s="60">
        <f>ROUND(VLOOKUP(A13,'Contribution Allocation_Report'!$A$9:$D$311,4,FALSE)*$D$312,0)</f>
        <v>212034</v>
      </c>
      <c r="E13" s="60">
        <f>ROUND(VLOOKUP(A13,'Contribution Allocation_Report'!$A$9:$D$311,4,FALSE)*$E$312,0)</f>
        <v>247948</v>
      </c>
      <c r="H13" s="39"/>
      <c r="J13" s="166">
        <v>2441</v>
      </c>
      <c r="K13" s="205">
        <f t="shared" si="0"/>
        <v>0</v>
      </c>
    </row>
    <row r="14" spans="1:11">
      <c r="A14" s="143">
        <v>15046</v>
      </c>
      <c r="B14" s="149" t="s">
        <v>10</v>
      </c>
      <c r="C14" s="61">
        <f>ROUND(VLOOKUP(A14,'Contribution Allocation_Report'!$A$9:$D$311,4,FALSE)*$C$312,0)</f>
        <v>12449061</v>
      </c>
      <c r="D14" s="61">
        <f>ROUND(VLOOKUP(A14,'Contribution Allocation_Report'!$A$9:$D$311,4,FALSE)*$D$312,0)</f>
        <v>15536849</v>
      </c>
      <c r="E14" s="61">
        <f>ROUND(VLOOKUP(A14,'Contribution Allocation_Report'!$A$9:$D$311,4,FALSE)*$E$312,0)</f>
        <v>18168452</v>
      </c>
      <c r="J14" s="164">
        <v>15046</v>
      </c>
      <c r="K14" s="205">
        <f t="shared" si="0"/>
        <v>0</v>
      </c>
    </row>
    <row r="15" spans="1:11">
      <c r="A15" s="147">
        <v>4380</v>
      </c>
      <c r="B15" s="148" t="s">
        <v>11</v>
      </c>
      <c r="C15" s="60">
        <f>ROUND(VLOOKUP(A15,'Contribution Allocation_Report'!$A$9:$D$311,4,FALSE)*$C$312,0)</f>
        <v>12971269</v>
      </c>
      <c r="D15" s="60">
        <f>ROUND(VLOOKUP(A15,'Contribution Allocation_Report'!$A$9:$D$311,4,FALSE)*$D$312,0)</f>
        <v>16188583</v>
      </c>
      <c r="E15" s="60">
        <f>ROUND(VLOOKUP(A15,'Contribution Allocation_Report'!$A$9:$D$311,4,FALSE)*$E$312,0)</f>
        <v>18930576</v>
      </c>
      <c r="J15" s="166">
        <v>4380</v>
      </c>
      <c r="K15" s="205">
        <f t="shared" si="0"/>
        <v>0</v>
      </c>
    </row>
    <row r="16" spans="1:11">
      <c r="A16" s="143">
        <v>2343</v>
      </c>
      <c r="B16" s="185" t="s">
        <v>438</v>
      </c>
      <c r="C16" s="61">
        <f>ROUND(VLOOKUP(A16,'Contribution Allocation_Report'!$A$9:$D$311,4,FALSE)*$C$312,0)</f>
        <v>807225</v>
      </c>
      <c r="D16" s="61">
        <f>ROUND(VLOOKUP(A16,'Contribution Allocation_Report'!$A$9:$D$311,4,FALSE)*$D$312,0)</f>
        <v>1007444</v>
      </c>
      <c r="E16" s="61">
        <f>ROUND(VLOOKUP(A16,'Contribution Allocation_Report'!$A$9:$D$311,4,FALSE)*$E$312,0)</f>
        <v>1178084</v>
      </c>
      <c r="J16" s="164">
        <v>2343</v>
      </c>
      <c r="K16" s="205">
        <f t="shared" si="0"/>
        <v>0</v>
      </c>
    </row>
    <row r="17" spans="1:11">
      <c r="A17" s="147">
        <v>2435</v>
      </c>
      <c r="B17" s="148" t="s">
        <v>408</v>
      </c>
      <c r="C17" s="60">
        <f>ROUND(VLOOKUP(A17,'Contribution Allocation_Report'!$A$9:$D$311,4,FALSE)*$C$312,0)</f>
        <v>347701</v>
      </c>
      <c r="D17" s="60">
        <f>ROUND(VLOOKUP(A17,'Contribution Allocation_Report'!$A$9:$D$311,4,FALSE)*$D$312,0)</f>
        <v>433943</v>
      </c>
      <c r="E17" s="60">
        <f>ROUND(VLOOKUP(A17,'Contribution Allocation_Report'!$A$9:$D$311,4,FALSE)*$E$312,0)</f>
        <v>507444</v>
      </c>
      <c r="J17" s="166">
        <v>2435</v>
      </c>
      <c r="K17" s="205">
        <f t="shared" si="0"/>
        <v>0</v>
      </c>
    </row>
    <row r="18" spans="1:11">
      <c r="A18" s="143">
        <v>4560</v>
      </c>
      <c r="B18" s="149" t="s">
        <v>12</v>
      </c>
      <c r="C18" s="61">
        <f>ROUND(VLOOKUP(A18,'Contribution Allocation_Report'!$A$9:$D$311,4,FALSE)*$C$312,0)</f>
        <v>1084566</v>
      </c>
      <c r="D18" s="61">
        <f>ROUND(VLOOKUP(A18,'Contribution Allocation_Report'!$A$9:$D$311,4,FALSE)*$D$312,0)</f>
        <v>1353575</v>
      </c>
      <c r="E18" s="61">
        <f>ROUND(VLOOKUP(A18,'Contribution Allocation_Report'!$A$9:$D$311,4,FALSE)*$E$312,0)</f>
        <v>1582841</v>
      </c>
      <c r="J18" s="164">
        <v>4560</v>
      </c>
      <c r="K18" s="205">
        <f t="shared" si="0"/>
        <v>0</v>
      </c>
    </row>
    <row r="19" spans="1:11">
      <c r="A19" s="147">
        <v>2341</v>
      </c>
      <c r="B19" s="148" t="s">
        <v>434</v>
      </c>
      <c r="C19" s="60">
        <f>ROUND(VLOOKUP(A19,'Contribution Allocation_Report'!$A$9:$D$311,4,FALSE)*$C$312,0)</f>
        <v>683242</v>
      </c>
      <c r="D19" s="60">
        <f>ROUND(VLOOKUP(A19,'Contribution Allocation_Report'!$A$9:$D$311,4,FALSE)*$D$312,0)</f>
        <v>852709</v>
      </c>
      <c r="E19" s="60">
        <f>ROUND(VLOOKUP(A19,'Contribution Allocation_Report'!$A$9:$D$311,4,FALSE)*$E$312,0)</f>
        <v>997139</v>
      </c>
      <c r="J19" s="166">
        <v>2341</v>
      </c>
      <c r="K19" s="205">
        <f t="shared" si="0"/>
        <v>0</v>
      </c>
    </row>
    <row r="20" spans="1:11">
      <c r="A20" s="143">
        <v>4580</v>
      </c>
      <c r="B20" s="149" t="s">
        <v>409</v>
      </c>
      <c r="C20" s="61">
        <f>ROUND(VLOOKUP(A20,'Contribution Allocation_Report'!$A$9:$D$311,4,FALSE)*$C$312,0)</f>
        <v>600683</v>
      </c>
      <c r="D20" s="61">
        <f>ROUND(VLOOKUP(A20,'Contribution Allocation_Report'!$A$9:$D$311,4,FALSE)*$D$312,0)</f>
        <v>749673</v>
      </c>
      <c r="E20" s="61">
        <f>ROUND(VLOOKUP(A20,'Contribution Allocation_Report'!$A$9:$D$311,4,FALSE)*$E$312,0)</f>
        <v>876651</v>
      </c>
      <c r="J20" s="164">
        <v>4580</v>
      </c>
      <c r="K20" s="205">
        <f t="shared" si="0"/>
        <v>0</v>
      </c>
    </row>
    <row r="21" spans="1:11">
      <c r="A21" s="147">
        <v>2003</v>
      </c>
      <c r="B21" s="148" t="s">
        <v>13</v>
      </c>
      <c r="C21" s="60">
        <f>ROUND(VLOOKUP(A21,'Contribution Allocation_Report'!$A$9:$D$311,4,FALSE)*$C$312,0)</f>
        <v>211919762</v>
      </c>
      <c r="D21" s="60">
        <f>ROUND(VLOOKUP(A21,'Contribution Allocation_Report'!$A$9:$D$311,4,FALSE)*$D$312,0)</f>
        <v>264483025</v>
      </c>
      <c r="E21" s="60">
        <f>ROUND(VLOOKUP(A21,'Contribution Allocation_Report'!$A$9:$D$311,4,FALSE)*$E$312,0)</f>
        <v>309280688</v>
      </c>
      <c r="J21" s="166">
        <v>2003</v>
      </c>
      <c r="K21" s="205">
        <f t="shared" si="0"/>
        <v>0</v>
      </c>
    </row>
    <row r="22" spans="1:11">
      <c r="A22" s="143">
        <v>2412</v>
      </c>
      <c r="B22" s="149" t="s">
        <v>14</v>
      </c>
      <c r="C22" s="61">
        <f>ROUND(VLOOKUP(A22,'Contribution Allocation_Report'!$A$9:$D$311,4,FALSE)*$C$312,0)</f>
        <v>1935295</v>
      </c>
      <c r="D22" s="61">
        <f>ROUND(VLOOKUP(A22,'Contribution Allocation_Report'!$A$9:$D$311,4,FALSE)*$D$312,0)</f>
        <v>2415313</v>
      </c>
      <c r="E22" s="61">
        <f>ROUND(VLOOKUP(A22,'Contribution Allocation_Report'!$A$9:$D$311,4,FALSE)*$E$312,0)</f>
        <v>2824415</v>
      </c>
      <c r="J22" s="164">
        <v>2412</v>
      </c>
      <c r="K22" s="205">
        <f t="shared" si="0"/>
        <v>0</v>
      </c>
    </row>
    <row r="23" spans="1:11">
      <c r="A23" s="147">
        <v>2402</v>
      </c>
      <c r="B23" s="148" t="s">
        <v>15</v>
      </c>
      <c r="C23" s="60">
        <f>ROUND(VLOOKUP(A23,'Contribution Allocation_Report'!$A$9:$D$311,4,FALSE)*$C$312,0)</f>
        <v>671919</v>
      </c>
      <c r="D23" s="60">
        <f>ROUND(VLOOKUP(A23,'Contribution Allocation_Report'!$A$9:$D$311,4,FALSE)*$D$312,0)</f>
        <v>838578</v>
      </c>
      <c r="E23" s="60">
        <f>ROUND(VLOOKUP(A23,'Contribution Allocation_Report'!$A$9:$D$311,4,FALSE)*$E$312,0)</f>
        <v>980614</v>
      </c>
      <c r="J23" s="166">
        <v>2402</v>
      </c>
      <c r="K23" s="205">
        <f t="shared" si="0"/>
        <v>0</v>
      </c>
    </row>
    <row r="24" spans="1:11">
      <c r="A24" s="143">
        <v>2361</v>
      </c>
      <c r="B24" s="149" t="s">
        <v>16</v>
      </c>
      <c r="C24" s="61">
        <f>ROUND(VLOOKUP(A24,'Contribution Allocation_Report'!$A$9:$D$311,4,FALSE)*$C$312,0)</f>
        <v>417078</v>
      </c>
      <c r="D24" s="61">
        <f>ROUND(VLOOKUP(A24,'Contribution Allocation_Report'!$A$9:$D$311,4,FALSE)*$D$312,0)</f>
        <v>520527</v>
      </c>
      <c r="E24" s="61">
        <f>ROUND(VLOOKUP(A24,'Contribution Allocation_Report'!$A$9:$D$311,4,FALSE)*$E$312,0)</f>
        <v>608693</v>
      </c>
      <c r="J24" s="164">
        <v>2361</v>
      </c>
      <c r="K24" s="205">
        <f t="shared" si="0"/>
        <v>0</v>
      </c>
    </row>
    <row r="25" spans="1:11">
      <c r="A25" s="147">
        <v>8347</v>
      </c>
      <c r="B25" s="148" t="s">
        <v>17</v>
      </c>
      <c r="C25" s="60">
        <f>ROUND(VLOOKUP(A25,'Contribution Allocation_Report'!$A$9:$D$311,4,FALSE)*$C$312,0)</f>
        <v>488222</v>
      </c>
      <c r="D25" s="60">
        <f>ROUND(VLOOKUP(A25,'Contribution Allocation_Report'!$A$9:$D$311,4,FALSE)*$D$312,0)</f>
        <v>609318</v>
      </c>
      <c r="E25" s="60">
        <f>ROUND(VLOOKUP(A25,'Contribution Allocation_Report'!$A$9:$D$311,4,FALSE)*$E$312,0)</f>
        <v>712523</v>
      </c>
      <c r="J25" s="166">
        <v>8347</v>
      </c>
      <c r="K25" s="205">
        <f t="shared" si="0"/>
        <v>0</v>
      </c>
    </row>
    <row r="26" spans="1:11">
      <c r="A26" s="143">
        <v>2356</v>
      </c>
      <c r="B26" s="149" t="s">
        <v>18</v>
      </c>
      <c r="C26" s="61">
        <f>ROUND(VLOOKUP(A26,'Contribution Allocation_Report'!$A$9:$D$311,4,FALSE)*$C$312,0)</f>
        <v>1086499</v>
      </c>
      <c r="D26" s="61">
        <f>ROUND(VLOOKUP(A26,'Contribution Allocation_Report'!$A$9:$D$311,4,FALSE)*$D$312,0)</f>
        <v>1355987</v>
      </c>
      <c r="E26" s="61">
        <f>ROUND(VLOOKUP(A26,'Contribution Allocation_Report'!$A$9:$D$311,4,FALSE)*$E$312,0)</f>
        <v>1585662</v>
      </c>
      <c r="J26" s="164">
        <v>2356</v>
      </c>
      <c r="K26" s="205">
        <f t="shared" si="0"/>
        <v>0</v>
      </c>
    </row>
    <row r="27" spans="1:11">
      <c r="A27" s="147">
        <v>7335</v>
      </c>
      <c r="B27" s="148" t="s">
        <v>19</v>
      </c>
      <c r="C27" s="60">
        <f>ROUND(VLOOKUP(A27,'Contribution Allocation_Report'!$A$9:$D$311,4,FALSE)*$C$312,0)</f>
        <v>494732</v>
      </c>
      <c r="D27" s="60">
        <f>ROUND(VLOOKUP(A27,'Contribution Allocation_Report'!$A$9:$D$311,4,FALSE)*$D$312,0)</f>
        <v>617442</v>
      </c>
      <c r="E27" s="60">
        <f>ROUND(VLOOKUP(A27,'Contribution Allocation_Report'!$A$9:$D$311,4,FALSE)*$E$312,0)</f>
        <v>722023</v>
      </c>
      <c r="J27" s="166">
        <v>7335</v>
      </c>
      <c r="K27" s="205">
        <f t="shared" si="0"/>
        <v>0</v>
      </c>
    </row>
    <row r="28" spans="1:11">
      <c r="A28" s="143">
        <v>575</v>
      </c>
      <c r="B28" s="149" t="s">
        <v>410</v>
      </c>
      <c r="C28" s="61">
        <f>ROUND(VLOOKUP(A28,'Contribution Allocation_Report'!$A$9:$D$311,4,FALSE)*$C$312,0)</f>
        <v>371368</v>
      </c>
      <c r="D28" s="61">
        <f>ROUND(VLOOKUP(A28,'Contribution Allocation_Report'!$A$9:$D$311,4,FALSE)*$D$312,0)</f>
        <v>463480</v>
      </c>
      <c r="E28" s="61">
        <f>ROUND(VLOOKUP(A28,'Contribution Allocation_Report'!$A$9:$D$311,4,FALSE)*$E$312,0)</f>
        <v>541983</v>
      </c>
      <c r="J28" s="164">
        <v>575</v>
      </c>
      <c r="K28" s="205">
        <f t="shared" si="0"/>
        <v>0</v>
      </c>
    </row>
    <row r="29" spans="1:11">
      <c r="A29" s="147">
        <v>2303</v>
      </c>
      <c r="B29" s="148" t="s">
        <v>20</v>
      </c>
      <c r="C29" s="60">
        <f>ROUND(VLOOKUP(A29,'Contribution Allocation_Report'!$A$9:$D$311,4,FALSE)*$C$312,0)</f>
        <v>773859</v>
      </c>
      <c r="D29" s="60">
        <f>ROUND(VLOOKUP(A29,'Contribution Allocation_Report'!$A$9:$D$311,4,FALSE)*$D$312,0)</f>
        <v>965802</v>
      </c>
      <c r="E29" s="60">
        <f>ROUND(VLOOKUP(A29,'Contribution Allocation_Report'!$A$9:$D$311,4,FALSE)*$E$312,0)</f>
        <v>1129388</v>
      </c>
      <c r="J29" s="166">
        <v>2303</v>
      </c>
      <c r="K29" s="205">
        <f t="shared" si="0"/>
        <v>0</v>
      </c>
    </row>
    <row r="30" spans="1:11">
      <c r="A30" s="143">
        <v>20316</v>
      </c>
      <c r="B30" s="149" t="s">
        <v>21</v>
      </c>
      <c r="C30" s="61">
        <f>ROUND(VLOOKUP(A30,'Contribution Allocation_Report'!$A$9:$D$311,4,FALSE)*$C$312,0)</f>
        <v>486946</v>
      </c>
      <c r="D30" s="61">
        <f>ROUND(VLOOKUP(A30,'Contribution Allocation_Report'!$A$9:$D$311,4,FALSE)*$D$312,0)</f>
        <v>607725</v>
      </c>
      <c r="E30" s="61">
        <f>ROUND(VLOOKUP(A30,'Contribution Allocation_Report'!$A$9:$D$311,4,FALSE)*$E$312,0)</f>
        <v>710661</v>
      </c>
      <c r="J30" s="164">
        <v>20316</v>
      </c>
      <c r="K30" s="205">
        <f t="shared" si="0"/>
        <v>0</v>
      </c>
    </row>
    <row r="31" spans="1:11">
      <c r="A31" s="147">
        <v>23121</v>
      </c>
      <c r="B31" s="148" t="s">
        <v>22</v>
      </c>
      <c r="C31" s="60">
        <f>ROUND(VLOOKUP(A31,'Contribution Allocation_Report'!$A$9:$D$311,4,FALSE)*$C$312,0)</f>
        <v>567991</v>
      </c>
      <c r="D31" s="60">
        <f>ROUND(VLOOKUP(A31,'Contribution Allocation_Report'!$A$9:$D$311,4,FALSE)*$D$312,0)</f>
        <v>708872</v>
      </c>
      <c r="E31" s="60">
        <f>ROUND(VLOOKUP(A31,'Contribution Allocation_Report'!$A$9:$D$311,4,FALSE)*$E$312,0)</f>
        <v>828940</v>
      </c>
      <c r="J31" s="166">
        <v>23121</v>
      </c>
      <c r="K31" s="205">
        <f t="shared" si="0"/>
        <v>0</v>
      </c>
    </row>
    <row r="32" spans="1:11">
      <c r="A32" s="143">
        <v>3004</v>
      </c>
      <c r="B32" s="149" t="s">
        <v>23</v>
      </c>
      <c r="C32" s="61">
        <f>ROUND(VLOOKUP(A32,'Contribution Allocation_Report'!$A$9:$D$311,4,FALSE)*$C$312,0)</f>
        <v>8874774</v>
      </c>
      <c r="D32" s="61">
        <f>ROUND(VLOOKUP(A32,'Contribution Allocation_Report'!$A$9:$D$311,4,FALSE)*$D$312,0)</f>
        <v>11076018</v>
      </c>
      <c r="E32" s="61">
        <f>ROUND(VLOOKUP(A32,'Contribution Allocation_Report'!$A$9:$D$311,4,FALSE)*$E$312,0)</f>
        <v>12952054</v>
      </c>
      <c r="J32" s="164">
        <v>3004</v>
      </c>
      <c r="K32" s="205">
        <f t="shared" si="0"/>
        <v>0</v>
      </c>
    </row>
    <row r="33" spans="1:11">
      <c r="A33" s="147">
        <v>16050</v>
      </c>
      <c r="B33" s="148" t="s">
        <v>24</v>
      </c>
      <c r="C33" s="60">
        <f>ROUND(VLOOKUP(A33,'Contribution Allocation_Report'!$A$9:$D$311,4,FALSE)*$C$312,0)</f>
        <v>6098377</v>
      </c>
      <c r="D33" s="60">
        <f>ROUND(VLOOKUP(A33,'Contribution Allocation_Report'!$A$9:$D$311,4,FALSE)*$D$312,0)</f>
        <v>7610981</v>
      </c>
      <c r="E33" s="60">
        <f>ROUND(VLOOKUP(A33,'Contribution Allocation_Report'!$A$9:$D$311,4,FALSE)*$E$312,0)</f>
        <v>8900115</v>
      </c>
      <c r="J33" s="166">
        <v>16050</v>
      </c>
      <c r="K33" s="205">
        <f t="shared" si="0"/>
        <v>0</v>
      </c>
    </row>
    <row r="34" spans="1:11">
      <c r="A34" s="143">
        <v>14043</v>
      </c>
      <c r="B34" s="149" t="s">
        <v>25</v>
      </c>
      <c r="C34" s="61">
        <f>ROUND(VLOOKUP(A34,'Contribution Allocation_Report'!$A$9:$D$311,4,FALSE)*$C$312,0)</f>
        <v>8842429</v>
      </c>
      <c r="D34" s="61">
        <f>ROUND(VLOOKUP(A34,'Contribution Allocation_Report'!$A$9:$D$311,4,FALSE)*$D$312,0)</f>
        <v>11035650</v>
      </c>
      <c r="E34" s="61">
        <f>ROUND(VLOOKUP(A34,'Contribution Allocation_Report'!$A$9:$D$311,4,FALSE)*$E$312,0)</f>
        <v>12904849</v>
      </c>
      <c r="J34" s="164">
        <v>14043</v>
      </c>
      <c r="K34" s="205">
        <f t="shared" si="0"/>
        <v>0</v>
      </c>
    </row>
    <row r="35" spans="1:11">
      <c r="A35" s="147">
        <v>3010</v>
      </c>
      <c r="B35" s="148" t="s">
        <v>26</v>
      </c>
      <c r="C35" s="60">
        <f>ROUND(VLOOKUP(A35,'Contribution Allocation_Report'!$A$9:$D$311,4,FALSE)*$C$312,0)</f>
        <v>52325566</v>
      </c>
      <c r="D35" s="60">
        <f>ROUND(VLOOKUP(A35,'Contribution Allocation_Report'!$A$9:$D$311,4,FALSE)*$D$312,0)</f>
        <v>65304075</v>
      </c>
      <c r="E35" s="60">
        <f>ROUND(VLOOKUP(A35,'Contribution Allocation_Report'!$A$9:$D$311,4,FALSE)*$E$312,0)</f>
        <v>76365163</v>
      </c>
      <c r="J35" s="166">
        <v>3010</v>
      </c>
      <c r="K35" s="205">
        <f t="shared" si="0"/>
        <v>0</v>
      </c>
    </row>
    <row r="36" spans="1:11">
      <c r="A36" s="143">
        <v>29086</v>
      </c>
      <c r="B36" s="149" t="s">
        <v>27</v>
      </c>
      <c r="C36" s="61">
        <f>ROUND(VLOOKUP(A36,'Contribution Allocation_Report'!$A$9:$D$311,4,FALSE)*$C$312,0)</f>
        <v>7968143</v>
      </c>
      <c r="D36" s="61">
        <f>ROUND(VLOOKUP(A36,'Contribution Allocation_Report'!$A$9:$D$311,4,FALSE)*$D$312,0)</f>
        <v>9944512</v>
      </c>
      <c r="E36" s="61">
        <f>ROUND(VLOOKUP(A36,'Contribution Allocation_Report'!$A$9:$D$311,4,FALSE)*$E$312,0)</f>
        <v>11628895</v>
      </c>
      <c r="J36" s="164">
        <v>29086</v>
      </c>
      <c r="K36" s="205">
        <f t="shared" si="0"/>
        <v>0</v>
      </c>
    </row>
    <row r="37" spans="1:11">
      <c r="A37" s="147">
        <v>16051</v>
      </c>
      <c r="B37" s="148" t="s">
        <v>28</v>
      </c>
      <c r="C37" s="60">
        <f>ROUND(VLOOKUP(A37,'Contribution Allocation_Report'!$A$9:$D$311,4,FALSE)*$C$312,0)</f>
        <v>6782403</v>
      </c>
      <c r="D37" s="60">
        <f>ROUND(VLOOKUP(A37,'Contribution Allocation_Report'!$A$9:$D$311,4,FALSE)*$D$312,0)</f>
        <v>8464668</v>
      </c>
      <c r="E37" s="60">
        <f>ROUND(VLOOKUP(A37,'Contribution Allocation_Report'!$A$9:$D$311,4,FALSE)*$E$312,0)</f>
        <v>9898398</v>
      </c>
      <c r="J37" s="166">
        <v>16051</v>
      </c>
      <c r="K37" s="205">
        <f t="shared" si="0"/>
        <v>0</v>
      </c>
    </row>
    <row r="38" spans="1:11">
      <c r="A38" s="143">
        <v>26077</v>
      </c>
      <c r="B38" s="149" t="s">
        <v>29</v>
      </c>
      <c r="C38" s="61">
        <f>ROUND(VLOOKUP(A38,'Contribution Allocation_Report'!$A$9:$D$311,4,FALSE)*$C$312,0)</f>
        <v>1343273</v>
      </c>
      <c r="D38" s="61">
        <f>ROUND(VLOOKUP(A38,'Contribution Allocation_Report'!$A$9:$D$311,4,FALSE)*$D$312,0)</f>
        <v>1676450</v>
      </c>
      <c r="E38" s="61">
        <f>ROUND(VLOOKUP(A38,'Contribution Allocation_Report'!$A$9:$D$311,4,FALSE)*$E$312,0)</f>
        <v>1960404</v>
      </c>
      <c r="J38" s="164">
        <v>26077</v>
      </c>
      <c r="K38" s="205">
        <f t="shared" si="0"/>
        <v>0</v>
      </c>
    </row>
    <row r="39" spans="1:11">
      <c r="A39" s="147">
        <v>3005</v>
      </c>
      <c r="B39" s="148" t="s">
        <v>30</v>
      </c>
      <c r="C39" s="60">
        <f>ROUND(VLOOKUP(A39,'Contribution Allocation_Report'!$A$9:$D$311,4,FALSE)*$C$312,0)</f>
        <v>15721867</v>
      </c>
      <c r="D39" s="60">
        <f>ROUND(VLOOKUP(A39,'Contribution Allocation_Report'!$A$9:$D$311,4,FALSE)*$D$312,0)</f>
        <v>19621421</v>
      </c>
      <c r="E39" s="60">
        <f>ROUND(VLOOKUP(A39,'Contribution Allocation_Report'!$A$9:$D$311,4,FALSE)*$E$312,0)</f>
        <v>22944862</v>
      </c>
      <c r="J39" s="166">
        <v>3005</v>
      </c>
      <c r="K39" s="205">
        <f t="shared" si="0"/>
        <v>0</v>
      </c>
    </row>
    <row r="40" spans="1:11">
      <c r="A40" s="143">
        <v>26078</v>
      </c>
      <c r="B40" s="149" t="s">
        <v>31</v>
      </c>
      <c r="C40" s="61">
        <f>ROUND(VLOOKUP(A40,'Contribution Allocation_Report'!$A$9:$D$311,4,FALSE)*$C$312,0)</f>
        <v>545273</v>
      </c>
      <c r="D40" s="61">
        <f>ROUND(VLOOKUP(A40,'Contribution Allocation_Report'!$A$9:$D$311,4,FALSE)*$D$312,0)</f>
        <v>680519</v>
      </c>
      <c r="E40" s="61">
        <f>ROUND(VLOOKUP(A40,'Contribution Allocation_Report'!$A$9:$D$311,4,FALSE)*$E$312,0)</f>
        <v>795784</v>
      </c>
      <c r="J40" s="164">
        <v>26078</v>
      </c>
      <c r="K40" s="205">
        <f t="shared" si="0"/>
        <v>0</v>
      </c>
    </row>
    <row r="41" spans="1:11">
      <c r="A41" s="147">
        <v>16053</v>
      </c>
      <c r="B41" s="148" t="s">
        <v>32</v>
      </c>
      <c r="C41" s="60">
        <f>ROUND(VLOOKUP(A41,'Contribution Allocation_Report'!$A$9:$D$311,4,FALSE)*$C$312,0)</f>
        <v>16801510</v>
      </c>
      <c r="D41" s="60">
        <f>ROUND(VLOOKUP(A41,'Contribution Allocation_Report'!$A$9:$D$311,4,FALSE)*$D$312,0)</f>
        <v>20968852</v>
      </c>
      <c r="E41" s="60">
        <f>ROUND(VLOOKUP(A41,'Contribution Allocation_Report'!$A$9:$D$311,4,FALSE)*$E$312,0)</f>
        <v>24520519</v>
      </c>
      <c r="J41" s="166">
        <v>16053</v>
      </c>
      <c r="K41" s="205">
        <f t="shared" si="0"/>
        <v>0</v>
      </c>
    </row>
    <row r="42" spans="1:11">
      <c r="A42" s="143">
        <v>2123</v>
      </c>
      <c r="B42" s="149" t="s">
        <v>33</v>
      </c>
      <c r="C42" s="61">
        <f>ROUND(VLOOKUP(A42,'Contribution Allocation_Report'!$A$9:$D$311,4,FALSE)*$C$312,0)</f>
        <v>32351495</v>
      </c>
      <c r="D42" s="61">
        <f>ROUND(VLOOKUP(A42,'Contribution Allocation_Report'!$A$9:$D$311,4,FALSE)*$D$312,0)</f>
        <v>40375759</v>
      </c>
      <c r="E42" s="61">
        <f>ROUND(VLOOKUP(A42,'Contribution Allocation_Report'!$A$9:$D$311,4,FALSE)*$E$312,0)</f>
        <v>47214533</v>
      </c>
      <c r="J42" s="164">
        <v>2123</v>
      </c>
      <c r="K42" s="205">
        <f t="shared" si="0"/>
        <v>0</v>
      </c>
    </row>
    <row r="43" spans="1:11">
      <c r="A43" s="147">
        <v>2150</v>
      </c>
      <c r="B43" s="148" t="s">
        <v>34</v>
      </c>
      <c r="C43" s="60">
        <f>ROUND(VLOOKUP(A43,'Contribution Allocation_Report'!$A$9:$D$311,4,FALSE)*$C$312,0)</f>
        <v>1438485</v>
      </c>
      <c r="D43" s="60">
        <f>ROUND(VLOOKUP(A43,'Contribution Allocation_Report'!$A$9:$D$311,4,FALSE)*$D$312,0)</f>
        <v>1795278</v>
      </c>
      <c r="E43" s="60">
        <f>ROUND(VLOOKUP(A43,'Contribution Allocation_Report'!$A$9:$D$311,4,FALSE)*$E$312,0)</f>
        <v>2099359</v>
      </c>
      <c r="J43" s="166">
        <v>2150</v>
      </c>
      <c r="K43" s="205">
        <f t="shared" si="0"/>
        <v>0</v>
      </c>
    </row>
    <row r="44" spans="1:11">
      <c r="A44" s="143">
        <v>2336</v>
      </c>
      <c r="B44" s="149" t="s">
        <v>35</v>
      </c>
      <c r="C44" s="61">
        <f>ROUND(VLOOKUP(A44,'Contribution Allocation_Report'!$A$9:$D$311,4,FALSE)*$C$312,0)</f>
        <v>428893</v>
      </c>
      <c r="D44" s="61">
        <f>ROUND(VLOOKUP(A44,'Contribution Allocation_Report'!$A$9:$D$311,4,FALSE)*$D$312,0)</f>
        <v>535272</v>
      </c>
      <c r="E44" s="61">
        <f>ROUND(VLOOKUP(A44,'Contribution Allocation_Report'!$A$9:$D$311,4,FALSE)*$E$312,0)</f>
        <v>625936</v>
      </c>
      <c r="J44" s="164">
        <v>2336</v>
      </c>
      <c r="K44" s="205">
        <f t="shared" si="0"/>
        <v>0</v>
      </c>
    </row>
    <row r="45" spans="1:11">
      <c r="A45" s="147">
        <v>17126</v>
      </c>
      <c r="B45" s="148" t="s">
        <v>36</v>
      </c>
      <c r="C45" s="60">
        <f>ROUND(VLOOKUP(A45,'Contribution Allocation_Report'!$A$9:$D$311,4,FALSE)*$C$312,0)</f>
        <v>1262391</v>
      </c>
      <c r="D45" s="60">
        <f>ROUND(VLOOKUP(A45,'Contribution Allocation_Report'!$A$9:$D$311,4,FALSE)*$D$312,0)</f>
        <v>1575507</v>
      </c>
      <c r="E45" s="60">
        <f>ROUND(VLOOKUP(A45,'Contribution Allocation_Report'!$A$9:$D$311,4,FALSE)*$E$312,0)</f>
        <v>1842364</v>
      </c>
      <c r="J45" s="166">
        <v>17126</v>
      </c>
      <c r="K45" s="205">
        <f t="shared" si="0"/>
        <v>0</v>
      </c>
    </row>
    <row r="46" spans="1:11">
      <c r="A46" s="143">
        <v>3030</v>
      </c>
      <c r="B46" s="149" t="s">
        <v>37</v>
      </c>
      <c r="C46" s="61">
        <f>ROUND(VLOOKUP(A46,'Contribution Allocation_Report'!$A$9:$D$311,4,FALSE)*$C$312,0)</f>
        <v>3597570</v>
      </c>
      <c r="D46" s="61">
        <f>ROUND(VLOOKUP(A46,'Contribution Allocation_Report'!$A$9:$D$311,4,FALSE)*$D$312,0)</f>
        <v>4489889</v>
      </c>
      <c r="E46" s="61">
        <f>ROUND(VLOOKUP(A46,'Contribution Allocation_Report'!$A$9:$D$311,4,FALSE)*$E$312,0)</f>
        <v>5250379</v>
      </c>
      <c r="J46" s="164">
        <v>3030</v>
      </c>
      <c r="K46" s="205">
        <f t="shared" si="0"/>
        <v>0</v>
      </c>
    </row>
    <row r="47" spans="1:11">
      <c r="A47" s="147">
        <v>2353</v>
      </c>
      <c r="B47" s="148" t="s">
        <v>38</v>
      </c>
      <c r="C47" s="60">
        <f>ROUND(VLOOKUP(A47,'Contribution Allocation_Report'!$A$9:$D$311,4,FALSE)*$C$312,0)</f>
        <v>1176952</v>
      </c>
      <c r="D47" s="60">
        <f>ROUND(VLOOKUP(A47,'Contribution Allocation_Report'!$A$9:$D$311,4,FALSE)*$D$312,0)</f>
        <v>1468876</v>
      </c>
      <c r="E47" s="60">
        <f>ROUND(VLOOKUP(A47,'Contribution Allocation_Report'!$A$9:$D$311,4,FALSE)*$E$312,0)</f>
        <v>1717672</v>
      </c>
      <c r="J47" s="166">
        <v>2353</v>
      </c>
      <c r="K47" s="205">
        <f t="shared" si="0"/>
        <v>0</v>
      </c>
    </row>
    <row r="48" spans="1:11">
      <c r="A48" s="143">
        <v>3040</v>
      </c>
      <c r="B48" s="149" t="s">
        <v>39</v>
      </c>
      <c r="C48" s="61">
        <f>ROUND(VLOOKUP(A48,'Contribution Allocation_Report'!$A$9:$D$311,4,FALSE)*$C$312,0)</f>
        <v>1407161</v>
      </c>
      <c r="D48" s="61">
        <f>ROUND(VLOOKUP(A48,'Contribution Allocation_Report'!$A$9:$D$311,4,FALSE)*$D$312,0)</f>
        <v>1756184</v>
      </c>
      <c r="E48" s="61">
        <f>ROUND(VLOOKUP(A48,'Contribution Allocation_Report'!$A$9:$D$311,4,FALSE)*$E$312,0)</f>
        <v>2053643</v>
      </c>
      <c r="J48" s="164">
        <v>3040</v>
      </c>
      <c r="K48" s="205">
        <f t="shared" si="0"/>
        <v>0</v>
      </c>
    </row>
    <row r="49" spans="1:11">
      <c r="A49" s="147">
        <v>2367</v>
      </c>
      <c r="B49" s="148" t="s">
        <v>40</v>
      </c>
      <c r="C49" s="60">
        <f>ROUND(VLOOKUP(A49,'Contribution Allocation_Report'!$A$9:$D$311,4,FALSE)*$C$312,0)</f>
        <v>998999</v>
      </c>
      <c r="D49" s="60">
        <f>ROUND(VLOOKUP(A49,'Contribution Allocation_Report'!$A$9:$D$311,4,FALSE)*$D$312,0)</f>
        <v>1246784</v>
      </c>
      <c r="E49" s="60">
        <f>ROUND(VLOOKUP(A49,'Contribution Allocation_Report'!$A$9:$D$311,4,FALSE)*$E$312,0)</f>
        <v>1457963</v>
      </c>
      <c r="J49" s="166">
        <v>2367</v>
      </c>
      <c r="K49" s="205">
        <f t="shared" si="0"/>
        <v>0</v>
      </c>
    </row>
    <row r="50" spans="1:11">
      <c r="A50" s="143">
        <v>9027</v>
      </c>
      <c r="B50" s="149" t="s">
        <v>41</v>
      </c>
      <c r="C50" s="61">
        <f>ROUND(VLOOKUP(A50,'Contribution Allocation_Report'!$A$9:$D$311,4,FALSE)*$C$312,0)</f>
        <v>1396786</v>
      </c>
      <c r="D50" s="61">
        <f>ROUND(VLOOKUP(A50,'Contribution Allocation_Report'!$A$9:$D$311,4,FALSE)*$D$312,0)</f>
        <v>1743236</v>
      </c>
      <c r="E50" s="61">
        <f>ROUND(VLOOKUP(A50,'Contribution Allocation_Report'!$A$9:$D$311,4,FALSE)*$E$312,0)</f>
        <v>2038503</v>
      </c>
      <c r="J50" s="164">
        <v>9027</v>
      </c>
      <c r="K50" s="205">
        <f t="shared" si="0"/>
        <v>0</v>
      </c>
    </row>
    <row r="51" spans="1:11">
      <c r="A51" s="147">
        <v>2010</v>
      </c>
      <c r="B51" s="148" t="s">
        <v>42</v>
      </c>
      <c r="C51" s="60">
        <f>ROUND(VLOOKUP(A51,'Contribution Allocation_Report'!$A$9:$D$311,4,FALSE)*$C$312,0)</f>
        <v>5051188</v>
      </c>
      <c r="D51" s="60">
        <f>ROUND(VLOOKUP(A51,'Contribution Allocation_Report'!$A$9:$D$311,4,FALSE)*$D$312,0)</f>
        <v>6304054</v>
      </c>
      <c r="E51" s="60">
        <f>ROUND(VLOOKUP(A51,'Contribution Allocation_Report'!$A$9:$D$311,4,FALSE)*$E$312,0)</f>
        <v>7371823</v>
      </c>
      <c r="J51" s="166">
        <v>2010</v>
      </c>
      <c r="K51" s="205">
        <f t="shared" si="0"/>
        <v>0</v>
      </c>
    </row>
    <row r="52" spans="1:11">
      <c r="A52" s="143">
        <v>2020</v>
      </c>
      <c r="B52" s="149" t="s">
        <v>43</v>
      </c>
      <c r="C52" s="61">
        <f>ROUND(VLOOKUP(A52,'Contribution Allocation_Report'!$A$9:$D$311,4,FALSE)*$C$312,0)</f>
        <v>126266676</v>
      </c>
      <c r="D52" s="61">
        <f>ROUND(VLOOKUP(A52,'Contribution Allocation_Report'!$A$9:$D$311,4,FALSE)*$D$312,0)</f>
        <v>157585078</v>
      </c>
      <c r="E52" s="61">
        <f>ROUND(VLOOKUP(A52,'Contribution Allocation_Report'!$A$9:$D$311,4,FALSE)*$E$312,0)</f>
        <v>184276558</v>
      </c>
      <c r="J52" s="164">
        <v>2020</v>
      </c>
      <c r="K52" s="205">
        <f t="shared" si="0"/>
        <v>0</v>
      </c>
    </row>
    <row r="53" spans="1:11">
      <c r="A53" s="147">
        <v>2040</v>
      </c>
      <c r="B53" s="148" t="s">
        <v>44</v>
      </c>
      <c r="C53" s="60">
        <f>ROUND(VLOOKUP(A53,'Contribution Allocation_Report'!$A$9:$D$311,4,FALSE)*$C$312,0)</f>
        <v>1740622</v>
      </c>
      <c r="D53" s="60">
        <f>ROUND(VLOOKUP(A53,'Contribution Allocation_Report'!$A$9:$D$311,4,FALSE)*$D$312,0)</f>
        <v>2172355</v>
      </c>
      <c r="E53" s="60">
        <f>ROUND(VLOOKUP(A53,'Contribution Allocation_Report'!$A$9:$D$311,4,FALSE)*$E$312,0)</f>
        <v>2540305</v>
      </c>
      <c r="J53" s="166">
        <v>2040</v>
      </c>
      <c r="K53" s="205">
        <f t="shared" si="0"/>
        <v>0</v>
      </c>
    </row>
    <row r="54" spans="1:11">
      <c r="A54" s="143">
        <v>2060</v>
      </c>
      <c r="B54" s="149" t="s">
        <v>45</v>
      </c>
      <c r="C54" s="61">
        <f>ROUND(VLOOKUP(A54,'Contribution Allocation_Report'!$A$9:$D$311,4,FALSE)*$C$312,0)</f>
        <v>1866356</v>
      </c>
      <c r="D54" s="61">
        <f>ROUND(VLOOKUP(A54,'Contribution Allocation_Report'!$A$9:$D$311,4,FALSE)*$D$312,0)</f>
        <v>2329276</v>
      </c>
      <c r="E54" s="61">
        <f>ROUND(VLOOKUP(A54,'Contribution Allocation_Report'!$A$9:$D$311,4,FALSE)*$E$312,0)</f>
        <v>2723804</v>
      </c>
      <c r="J54" s="164">
        <v>2060</v>
      </c>
      <c r="K54" s="205">
        <f t="shared" si="0"/>
        <v>0</v>
      </c>
    </row>
    <row r="55" spans="1:11">
      <c r="A55" s="147">
        <v>2090</v>
      </c>
      <c r="B55" s="148" t="s">
        <v>46</v>
      </c>
      <c r="C55" s="60">
        <f>ROUND(VLOOKUP(A55,'Contribution Allocation_Report'!$A$9:$D$311,4,FALSE)*$C$312,0)</f>
        <v>1392301</v>
      </c>
      <c r="D55" s="60">
        <f>ROUND(VLOOKUP(A55,'Contribution Allocation_Report'!$A$9:$D$311,4,FALSE)*$D$312,0)</f>
        <v>1737639</v>
      </c>
      <c r="E55" s="60">
        <f>ROUND(VLOOKUP(A55,'Contribution Allocation_Report'!$A$9:$D$311,4,FALSE)*$E$312,0)</f>
        <v>2031957</v>
      </c>
      <c r="J55" s="166">
        <v>2090</v>
      </c>
      <c r="K55" s="205">
        <f t="shared" si="0"/>
        <v>0</v>
      </c>
    </row>
    <row r="56" spans="1:11">
      <c r="A56" s="143">
        <v>2110</v>
      </c>
      <c r="B56" s="149" t="s">
        <v>47</v>
      </c>
      <c r="C56" s="61">
        <f>ROUND(VLOOKUP(A56,'Contribution Allocation_Report'!$A$9:$D$311,4,FALSE)*$C$312,0)</f>
        <v>11152246</v>
      </c>
      <c r="D56" s="61">
        <f>ROUND(VLOOKUP(A56,'Contribution Allocation_Report'!$A$9:$D$311,4,FALSE)*$D$312,0)</f>
        <v>13918380</v>
      </c>
      <c r="E56" s="61">
        <f>ROUND(VLOOKUP(A56,'Contribution Allocation_Report'!$A$9:$D$311,4,FALSE)*$E$312,0)</f>
        <v>16275850</v>
      </c>
      <c r="J56" s="164">
        <v>2110</v>
      </c>
      <c r="K56" s="205">
        <f t="shared" si="0"/>
        <v>0</v>
      </c>
    </row>
    <row r="57" spans="1:11">
      <c r="A57" s="147">
        <v>2180</v>
      </c>
      <c r="B57" s="148" t="s">
        <v>48</v>
      </c>
      <c r="C57" s="60">
        <f>ROUND(VLOOKUP(A57,'Contribution Allocation_Report'!$A$9:$D$311,4,FALSE)*$C$312,0)</f>
        <v>5320689</v>
      </c>
      <c r="D57" s="60">
        <f>ROUND(VLOOKUP(A57,'Contribution Allocation_Report'!$A$9:$D$311,4,FALSE)*$D$312,0)</f>
        <v>6640400</v>
      </c>
      <c r="E57" s="60">
        <f>ROUND(VLOOKUP(A57,'Contribution Allocation_Report'!$A$9:$D$311,4,FALSE)*$E$312,0)</f>
        <v>7765139</v>
      </c>
      <c r="J57" s="166">
        <v>2180</v>
      </c>
      <c r="K57" s="205">
        <f t="shared" si="0"/>
        <v>0</v>
      </c>
    </row>
    <row r="58" spans="1:11">
      <c r="A58" s="143">
        <v>2210</v>
      </c>
      <c r="B58" s="149" t="s">
        <v>49</v>
      </c>
      <c r="C58" s="61">
        <f>ROUND(VLOOKUP(A58,'Contribution Allocation_Report'!$A$9:$D$311,4,FALSE)*$C$312,0)</f>
        <v>2350276</v>
      </c>
      <c r="D58" s="61">
        <f>ROUND(VLOOKUP(A58,'Contribution Allocation_Report'!$A$9:$D$311,4,FALSE)*$D$312,0)</f>
        <v>2933224</v>
      </c>
      <c r="E58" s="61">
        <f>ROUND(VLOOKUP(A58,'Contribution Allocation_Report'!$A$9:$D$311,4,FALSE)*$E$312,0)</f>
        <v>3430048</v>
      </c>
      <c r="J58" s="164">
        <v>2210</v>
      </c>
      <c r="K58" s="205">
        <f t="shared" si="0"/>
        <v>0</v>
      </c>
    </row>
    <row r="59" spans="1:11">
      <c r="A59" s="147">
        <v>2290</v>
      </c>
      <c r="B59" s="148" t="s">
        <v>50</v>
      </c>
      <c r="C59" s="60">
        <f>ROUND(VLOOKUP(A59,'Contribution Allocation_Report'!$A$9:$D$311,4,FALSE)*$C$312,0)</f>
        <v>2444996</v>
      </c>
      <c r="D59" s="60">
        <f>ROUND(VLOOKUP(A59,'Contribution Allocation_Report'!$A$9:$D$311,4,FALSE)*$D$312,0)</f>
        <v>3051437</v>
      </c>
      <c r="E59" s="60">
        <f>ROUND(VLOOKUP(A59,'Contribution Allocation_Report'!$A$9:$D$311,4,FALSE)*$E$312,0)</f>
        <v>3568284</v>
      </c>
      <c r="J59" s="166">
        <v>2290</v>
      </c>
      <c r="K59" s="205">
        <f t="shared" si="0"/>
        <v>0</v>
      </c>
    </row>
    <row r="60" spans="1:11">
      <c r="A60" s="143">
        <v>2310</v>
      </c>
      <c r="B60" s="149" t="s">
        <v>51</v>
      </c>
      <c r="C60" s="61">
        <f>ROUND(VLOOKUP(A60,'Contribution Allocation_Report'!$A$9:$D$311,4,FALSE)*$C$312,0)</f>
        <v>17110485</v>
      </c>
      <c r="D60" s="61">
        <f>ROUND(VLOOKUP(A60,'Contribution Allocation_Report'!$A$9:$D$311,4,FALSE)*$D$312,0)</f>
        <v>21354463</v>
      </c>
      <c r="E60" s="61">
        <f>ROUND(VLOOKUP(A60,'Contribution Allocation_Report'!$A$9:$D$311,4,FALSE)*$E$312,0)</f>
        <v>24971444</v>
      </c>
      <c r="J60" s="164">
        <v>2310</v>
      </c>
      <c r="K60" s="205">
        <f t="shared" si="0"/>
        <v>0</v>
      </c>
    </row>
    <row r="61" spans="1:11">
      <c r="A61" s="147">
        <v>2330</v>
      </c>
      <c r="B61" s="148" t="s">
        <v>52</v>
      </c>
      <c r="C61" s="60">
        <f>ROUND(VLOOKUP(A61,'Contribution Allocation_Report'!$A$9:$D$311,4,FALSE)*$C$312,0)</f>
        <v>6096754</v>
      </c>
      <c r="D61" s="60">
        <f>ROUND(VLOOKUP(A61,'Contribution Allocation_Report'!$A$9:$D$311,4,FALSE)*$D$312,0)</f>
        <v>7608955</v>
      </c>
      <c r="E61" s="60">
        <f>ROUND(VLOOKUP(A61,'Contribution Allocation_Report'!$A$9:$D$311,4,FALSE)*$E$312,0)</f>
        <v>8897747</v>
      </c>
      <c r="J61" s="166">
        <v>2330</v>
      </c>
      <c r="K61" s="205">
        <f t="shared" si="0"/>
        <v>0</v>
      </c>
    </row>
    <row r="62" spans="1:11">
      <c r="A62" s="143">
        <v>2380</v>
      </c>
      <c r="B62" s="149" t="s">
        <v>53</v>
      </c>
      <c r="C62" s="61">
        <f>ROUND(VLOOKUP(A62,'Contribution Allocation_Report'!$A$9:$D$311,4,FALSE)*$C$312,0)</f>
        <v>925885</v>
      </c>
      <c r="D62" s="61">
        <f>ROUND(VLOOKUP(A62,'Contribution Allocation_Report'!$A$9:$D$311,4,FALSE)*$D$312,0)</f>
        <v>1155536</v>
      </c>
      <c r="E62" s="61">
        <f>ROUND(VLOOKUP(A62,'Contribution Allocation_Report'!$A$9:$D$311,4,FALSE)*$E$312,0)</f>
        <v>1351258</v>
      </c>
      <c r="J62" s="164">
        <v>2380</v>
      </c>
      <c r="K62" s="205">
        <f t="shared" si="0"/>
        <v>0</v>
      </c>
    </row>
    <row r="63" spans="1:11">
      <c r="A63" s="147">
        <v>2400</v>
      </c>
      <c r="B63" s="148" t="s">
        <v>54</v>
      </c>
      <c r="C63" s="60">
        <f>ROUND(VLOOKUP(A63,'Contribution Allocation_Report'!$A$9:$D$311,4,FALSE)*$C$312,0)</f>
        <v>29576721</v>
      </c>
      <c r="D63" s="60">
        <f>ROUND(VLOOKUP(A63,'Contribution Allocation_Report'!$A$9:$D$311,4,FALSE)*$D$312,0)</f>
        <v>36912747</v>
      </c>
      <c r="E63" s="60">
        <f>ROUND(VLOOKUP(A63,'Contribution Allocation_Report'!$A$9:$D$311,4,FALSE)*$E$312,0)</f>
        <v>43164962</v>
      </c>
      <c r="J63" s="166">
        <v>2400</v>
      </c>
      <c r="K63" s="205">
        <f t="shared" si="0"/>
        <v>0</v>
      </c>
    </row>
    <row r="64" spans="1:11">
      <c r="A64" s="143">
        <v>2410</v>
      </c>
      <c r="B64" s="149" t="s">
        <v>55</v>
      </c>
      <c r="C64" s="61">
        <f>ROUND(VLOOKUP(A64,'Contribution Allocation_Report'!$A$9:$D$311,4,FALSE)*$C$312,0)</f>
        <v>3611993</v>
      </c>
      <c r="D64" s="61">
        <f>ROUND(VLOOKUP(A64,'Contribution Allocation_Report'!$A$9:$D$311,4,FALSE)*$D$312,0)</f>
        <v>4507889</v>
      </c>
      <c r="E64" s="61">
        <f>ROUND(VLOOKUP(A64,'Contribution Allocation_Report'!$A$9:$D$311,4,FALSE)*$E$312,0)</f>
        <v>5271427</v>
      </c>
      <c r="J64" s="164">
        <v>2410</v>
      </c>
      <c r="K64" s="205">
        <f t="shared" si="0"/>
        <v>0</v>
      </c>
    </row>
    <row r="65" spans="1:11">
      <c r="A65" s="147">
        <v>2500</v>
      </c>
      <c r="B65" s="148" t="s">
        <v>56</v>
      </c>
      <c r="C65" s="60">
        <f>ROUND(VLOOKUP(A65,'Contribution Allocation_Report'!$A$9:$D$311,4,FALSE)*$C$312,0)</f>
        <v>578712</v>
      </c>
      <c r="D65" s="60">
        <f>ROUND(VLOOKUP(A65,'Contribution Allocation_Report'!$A$9:$D$311,4,FALSE)*$D$312,0)</f>
        <v>722253</v>
      </c>
      <c r="E65" s="60">
        <f>ROUND(VLOOKUP(A65,'Contribution Allocation_Report'!$A$9:$D$311,4,FALSE)*$E$312,0)</f>
        <v>844586</v>
      </c>
      <c r="J65" s="166">
        <v>2500</v>
      </c>
      <c r="K65" s="205">
        <f t="shared" si="0"/>
        <v>0</v>
      </c>
    </row>
    <row r="66" spans="1:11">
      <c r="A66" s="143">
        <v>2550</v>
      </c>
      <c r="B66" s="149" t="s">
        <v>57</v>
      </c>
      <c r="C66" s="61">
        <f>ROUND(VLOOKUP(A66,'Contribution Allocation_Report'!$A$9:$D$311,4,FALSE)*$C$312,0)</f>
        <v>2168220</v>
      </c>
      <c r="D66" s="61">
        <f>ROUND(VLOOKUP(A66,'Contribution Allocation_Report'!$A$9:$D$311,4,FALSE)*$D$312,0)</f>
        <v>2706012</v>
      </c>
      <c r="E66" s="61">
        <f>ROUND(VLOOKUP(A66,'Contribution Allocation_Report'!$A$9:$D$311,4,FALSE)*$E$312,0)</f>
        <v>3164352</v>
      </c>
      <c r="J66" s="164">
        <v>2550</v>
      </c>
      <c r="K66" s="205">
        <f t="shared" si="0"/>
        <v>0</v>
      </c>
    </row>
    <row r="67" spans="1:11">
      <c r="A67" s="147">
        <v>2570</v>
      </c>
      <c r="B67" s="148" t="s">
        <v>58</v>
      </c>
      <c r="C67" s="60">
        <f>ROUND(VLOOKUP(A67,'Contribution Allocation_Report'!$A$9:$D$311,4,FALSE)*$C$312,0)</f>
        <v>1343984</v>
      </c>
      <c r="D67" s="60">
        <f>ROUND(VLOOKUP(A67,'Contribution Allocation_Report'!$A$9:$D$311,4,FALSE)*$D$312,0)</f>
        <v>1677337</v>
      </c>
      <c r="E67" s="60">
        <f>ROUND(VLOOKUP(A67,'Contribution Allocation_Report'!$A$9:$D$311,4,FALSE)*$E$312,0)</f>
        <v>1961441</v>
      </c>
      <c r="J67" s="166">
        <v>2570</v>
      </c>
      <c r="K67" s="205">
        <f t="shared" si="0"/>
        <v>0</v>
      </c>
    </row>
    <row r="68" spans="1:11">
      <c r="A68" s="143">
        <v>2620</v>
      </c>
      <c r="B68" s="149" t="s">
        <v>59</v>
      </c>
      <c r="C68" s="61">
        <f>ROUND(VLOOKUP(A68,'Contribution Allocation_Report'!$A$9:$D$311,4,FALSE)*$C$312,0)</f>
        <v>12868326</v>
      </c>
      <c r="D68" s="61">
        <f>ROUND(VLOOKUP(A68,'Contribution Allocation_Report'!$A$9:$D$311,4,FALSE)*$D$312,0)</f>
        <v>16060106</v>
      </c>
      <c r="E68" s="61">
        <f>ROUND(VLOOKUP(A68,'Contribution Allocation_Report'!$A$9:$D$311,4,FALSE)*$E$312,0)</f>
        <v>18780338</v>
      </c>
      <c r="J68" s="164">
        <v>2620</v>
      </c>
      <c r="K68" s="205">
        <f t="shared" si="0"/>
        <v>0</v>
      </c>
    </row>
    <row r="69" spans="1:11">
      <c r="A69" s="147">
        <v>2630</v>
      </c>
      <c r="B69" s="148" t="s">
        <v>60</v>
      </c>
      <c r="C69" s="60">
        <f>ROUND(VLOOKUP(A69,'Contribution Allocation_Report'!$A$9:$D$311,4,FALSE)*$C$312,0)</f>
        <v>11012199</v>
      </c>
      <c r="D69" s="60">
        <f>ROUND(VLOOKUP(A69,'Contribution Allocation_Report'!$A$9:$D$311,4,FALSE)*$D$312,0)</f>
        <v>13743596</v>
      </c>
      <c r="E69" s="60">
        <f>ROUND(VLOOKUP(A69,'Contribution Allocation_Report'!$A$9:$D$311,4,FALSE)*$E$312,0)</f>
        <v>16071462</v>
      </c>
      <c r="J69" s="166">
        <v>2630</v>
      </c>
      <c r="K69" s="205">
        <f t="shared" si="0"/>
        <v>0</v>
      </c>
    </row>
    <row r="70" spans="1:11">
      <c r="A70" s="143">
        <v>2690</v>
      </c>
      <c r="B70" s="149" t="s">
        <v>61</v>
      </c>
      <c r="C70" s="61">
        <f>ROUND(VLOOKUP(A70,'Contribution Allocation_Report'!$A$9:$D$311,4,FALSE)*$C$312,0)</f>
        <v>24955555</v>
      </c>
      <c r="D70" s="61">
        <f>ROUND(VLOOKUP(A70,'Contribution Allocation_Report'!$A$9:$D$311,4,FALSE)*$D$312,0)</f>
        <v>31145376</v>
      </c>
      <c r="E70" s="61">
        <f>ROUND(VLOOKUP(A70,'Contribution Allocation_Report'!$A$9:$D$311,4,FALSE)*$E$312,0)</f>
        <v>36420725</v>
      </c>
      <c r="J70" s="164">
        <v>2690</v>
      </c>
      <c r="K70" s="205">
        <f t="shared" si="0"/>
        <v>0</v>
      </c>
    </row>
    <row r="71" spans="1:11">
      <c r="A71" s="147">
        <v>2710</v>
      </c>
      <c r="B71" s="148" t="s">
        <v>62</v>
      </c>
      <c r="C71" s="60">
        <f>ROUND(VLOOKUP(A71,'Contribution Allocation_Report'!$A$9:$D$311,4,FALSE)*$C$312,0)</f>
        <v>407597</v>
      </c>
      <c r="D71" s="60">
        <f>ROUND(VLOOKUP(A71,'Contribution Allocation_Report'!$A$9:$D$311,4,FALSE)*$D$312,0)</f>
        <v>508694</v>
      </c>
      <c r="E71" s="60">
        <f>ROUND(VLOOKUP(A71,'Contribution Allocation_Report'!$A$9:$D$311,4,FALSE)*$E$312,0)</f>
        <v>594856</v>
      </c>
      <c r="J71" s="166">
        <v>2710</v>
      </c>
      <c r="K71" s="205">
        <f t="shared" si="0"/>
        <v>0</v>
      </c>
    </row>
    <row r="72" spans="1:11">
      <c r="A72" s="143">
        <v>2730</v>
      </c>
      <c r="B72" s="149" t="s">
        <v>63</v>
      </c>
      <c r="C72" s="61">
        <f>ROUND(VLOOKUP(A72,'Contribution Allocation_Report'!$A$9:$D$311,4,FALSE)*$C$312,0)</f>
        <v>1882565</v>
      </c>
      <c r="D72" s="61">
        <f>ROUND(VLOOKUP(A72,'Contribution Allocation_Report'!$A$9:$D$311,4,FALSE)*$D$312,0)</f>
        <v>2349505</v>
      </c>
      <c r="E72" s="61">
        <f>ROUND(VLOOKUP(A72,'Contribution Allocation_Report'!$A$9:$D$311,4,FALSE)*$E$312,0)</f>
        <v>2747460</v>
      </c>
      <c r="J72" s="164">
        <v>2730</v>
      </c>
      <c r="K72" s="205">
        <f t="shared" si="0"/>
        <v>0</v>
      </c>
    </row>
    <row r="73" spans="1:11">
      <c r="A73" s="147">
        <v>2950</v>
      </c>
      <c r="B73" s="148" t="s">
        <v>64</v>
      </c>
      <c r="C73" s="60">
        <f>ROUND(VLOOKUP(A73,'Contribution Allocation_Report'!$A$9:$D$311,4,FALSE)*$C$312,0)</f>
        <v>1547809</v>
      </c>
      <c r="D73" s="60">
        <f>ROUND(VLOOKUP(A73,'Contribution Allocation_Report'!$A$9:$D$311,4,FALSE)*$D$312,0)</f>
        <v>1931718</v>
      </c>
      <c r="E73" s="60">
        <f>ROUND(VLOOKUP(A73,'Contribution Allocation_Report'!$A$9:$D$311,4,FALSE)*$E$312,0)</f>
        <v>2258909</v>
      </c>
      <c r="J73" s="166">
        <v>2950</v>
      </c>
      <c r="K73" s="205">
        <f t="shared" ref="K73:K136" si="1">+A73-J73</f>
        <v>0</v>
      </c>
    </row>
    <row r="74" spans="1:11">
      <c r="A74" s="143">
        <v>2760</v>
      </c>
      <c r="B74" s="149" t="s">
        <v>65</v>
      </c>
      <c r="C74" s="61">
        <f>ROUND(VLOOKUP(A74,'Contribution Allocation_Report'!$A$9:$D$311,4,FALSE)*$C$312,0)</f>
        <v>1383531</v>
      </c>
      <c r="D74" s="61">
        <f>ROUND(VLOOKUP(A74,'Contribution Allocation_Report'!$A$9:$D$311,4,FALSE)*$D$312,0)</f>
        <v>1726693</v>
      </c>
      <c r="E74" s="61">
        <f>ROUND(VLOOKUP(A74,'Contribution Allocation_Report'!$A$9:$D$311,4,FALSE)*$E$312,0)</f>
        <v>2019157</v>
      </c>
      <c r="J74" s="164">
        <v>2760</v>
      </c>
      <c r="K74" s="205">
        <f t="shared" si="1"/>
        <v>0</v>
      </c>
    </row>
    <row r="75" spans="1:11">
      <c r="A75" s="147">
        <v>2780</v>
      </c>
      <c r="B75" s="148" t="s">
        <v>66</v>
      </c>
      <c r="C75" s="60">
        <f>ROUND(VLOOKUP(A75,'Contribution Allocation_Report'!$A$9:$D$311,4,FALSE)*$C$312,0)</f>
        <v>109981</v>
      </c>
      <c r="D75" s="60">
        <f>ROUND(VLOOKUP(A75,'Contribution Allocation_Report'!$A$9:$D$311,4,FALSE)*$D$312,0)</f>
        <v>137260</v>
      </c>
      <c r="E75" s="60">
        <f>ROUND(VLOOKUP(A75,'Contribution Allocation_Report'!$A$9:$D$311,4,FALSE)*$E$312,0)</f>
        <v>160509</v>
      </c>
      <c r="J75" s="166">
        <v>2780</v>
      </c>
      <c r="K75" s="205">
        <f t="shared" si="1"/>
        <v>0</v>
      </c>
    </row>
    <row r="76" spans="1:11">
      <c r="A76" s="143">
        <v>2810</v>
      </c>
      <c r="B76" s="149" t="s">
        <v>67</v>
      </c>
      <c r="C76" s="61">
        <f>ROUND(VLOOKUP(A76,'Contribution Allocation_Report'!$A$9:$D$311,4,FALSE)*$C$312,0)</f>
        <v>1002263</v>
      </c>
      <c r="D76" s="61">
        <f>ROUND(VLOOKUP(A76,'Contribution Allocation_Report'!$A$9:$D$311,4,FALSE)*$D$312,0)</f>
        <v>1250858</v>
      </c>
      <c r="E76" s="61">
        <f>ROUND(VLOOKUP(A76,'Contribution Allocation_Report'!$A$9:$D$311,4,FALSE)*$E$312,0)</f>
        <v>1462726</v>
      </c>
      <c r="J76" s="164">
        <v>2810</v>
      </c>
      <c r="K76" s="205">
        <f t="shared" si="1"/>
        <v>0</v>
      </c>
    </row>
    <row r="77" spans="1:11">
      <c r="A77" s="147">
        <v>18056</v>
      </c>
      <c r="B77" s="148" t="s">
        <v>68</v>
      </c>
      <c r="C77" s="60">
        <f>ROUND(VLOOKUP(A77,'Contribution Allocation_Report'!$A$9:$D$311,4,FALSE)*$C$312,0)</f>
        <v>1239965</v>
      </c>
      <c r="D77" s="60">
        <f>ROUND(VLOOKUP(A77,'Contribution Allocation_Report'!$A$9:$D$311,4,FALSE)*$D$312,0)</f>
        <v>1547518</v>
      </c>
      <c r="E77" s="60">
        <f>ROUND(VLOOKUP(A77,'Contribution Allocation_Report'!$A$9:$D$311,4,FALSE)*$E$312,0)</f>
        <v>1809634</v>
      </c>
      <c r="J77" s="166">
        <v>18056</v>
      </c>
      <c r="K77" s="205">
        <f t="shared" si="1"/>
        <v>0</v>
      </c>
    </row>
    <row r="78" spans="1:11">
      <c r="A78" s="143">
        <v>15047</v>
      </c>
      <c r="B78" s="149" t="s">
        <v>69</v>
      </c>
      <c r="C78" s="61">
        <f>ROUND(VLOOKUP(A78,'Contribution Allocation_Report'!$A$9:$D$311,4,FALSE)*$C$312,0)</f>
        <v>1267278</v>
      </c>
      <c r="D78" s="61">
        <f>ROUND(VLOOKUP(A78,'Contribution Allocation_Report'!$A$9:$D$311,4,FALSE)*$D$312,0)</f>
        <v>1581606</v>
      </c>
      <c r="E78" s="61">
        <f>ROUND(VLOOKUP(A78,'Contribution Allocation_Report'!$A$9:$D$311,4,FALSE)*$E$312,0)</f>
        <v>1849495</v>
      </c>
      <c r="J78" s="164">
        <v>15047</v>
      </c>
      <c r="K78" s="205">
        <f t="shared" si="1"/>
        <v>0</v>
      </c>
    </row>
    <row r="79" spans="1:11">
      <c r="A79" s="143">
        <v>5012</v>
      </c>
      <c r="B79" s="144" t="s">
        <v>70</v>
      </c>
      <c r="C79" s="78">
        <f>ROUND(VLOOKUP(A79,'Contribution Allocation_Report'!$A$9:$D$311,4,FALSE)*$C$312,0)</f>
        <v>18451989</v>
      </c>
      <c r="D79" s="78">
        <f>ROUND(VLOOKUP(A79,'Contribution Allocation_Report'!$A$9:$D$311,4,FALSE)*$D$312,0)</f>
        <v>23028705</v>
      </c>
      <c r="E79" s="78">
        <f>ROUND(VLOOKUP(A79,'Contribution Allocation_Report'!$A$9:$D$311,4,FALSE)*$E$312,0)</f>
        <v>26929266</v>
      </c>
      <c r="J79" s="166">
        <v>5012</v>
      </c>
      <c r="K79" s="205">
        <f t="shared" si="1"/>
        <v>0</v>
      </c>
    </row>
    <row r="80" spans="1:11">
      <c r="A80" s="147">
        <v>8024</v>
      </c>
      <c r="B80" s="148" t="s">
        <v>71</v>
      </c>
      <c r="C80" s="60">
        <f>ROUND(VLOOKUP(A80,'Contribution Allocation_Report'!$A$9:$D$311,4,FALSE)*$C$312,0)</f>
        <v>3731965</v>
      </c>
      <c r="D80" s="60">
        <f>ROUND(VLOOKUP(A80,'Contribution Allocation_Report'!$A$9:$D$311,4,FALSE)*$D$312,0)</f>
        <v>4657619</v>
      </c>
      <c r="E80" s="60">
        <f>ROUND(VLOOKUP(A80,'Contribution Allocation_Report'!$A$9:$D$311,4,FALSE)*$E$312,0)</f>
        <v>5446518</v>
      </c>
      <c r="J80" s="164">
        <v>8024</v>
      </c>
      <c r="K80" s="205">
        <f t="shared" si="1"/>
        <v>0</v>
      </c>
    </row>
    <row r="81" spans="1:11">
      <c r="A81" s="143">
        <v>3050</v>
      </c>
      <c r="B81" s="149" t="s">
        <v>72</v>
      </c>
      <c r="C81" s="61">
        <f>ROUND(VLOOKUP(A81,'Contribution Allocation_Report'!$A$9:$D$311,4,FALSE)*$C$312,0)</f>
        <v>1252965</v>
      </c>
      <c r="D81" s="61">
        <f>ROUND(VLOOKUP(A81,'Contribution Allocation_Report'!$A$9:$D$311,4,FALSE)*$D$312,0)</f>
        <v>1563743</v>
      </c>
      <c r="E81" s="61">
        <f>ROUND(VLOOKUP(A81,'Contribution Allocation_Report'!$A$9:$D$311,4,FALSE)*$E$312,0)</f>
        <v>1828607</v>
      </c>
      <c r="J81" s="166">
        <v>3050</v>
      </c>
      <c r="K81" s="205">
        <f t="shared" si="1"/>
        <v>0</v>
      </c>
    </row>
    <row r="82" spans="1:11">
      <c r="A82" s="147">
        <v>2421</v>
      </c>
      <c r="B82" s="148" t="s">
        <v>73</v>
      </c>
      <c r="C82" s="60">
        <f>ROUND(VLOOKUP(A82,'Contribution Allocation_Report'!$A$9:$D$311,4,FALSE)*$C$312,0)</f>
        <v>560990</v>
      </c>
      <c r="D82" s="60">
        <f>ROUND(VLOOKUP(A82,'Contribution Allocation_Report'!$A$9:$D$311,4,FALSE)*$D$312,0)</f>
        <v>700134</v>
      </c>
      <c r="E82" s="60">
        <f>ROUND(VLOOKUP(A82,'Contribution Allocation_Report'!$A$9:$D$311,4,FALSE)*$E$312,0)</f>
        <v>818722</v>
      </c>
      <c r="J82" s="164">
        <v>2421</v>
      </c>
      <c r="K82" s="205">
        <f t="shared" si="1"/>
        <v>0</v>
      </c>
    </row>
    <row r="83" spans="1:11">
      <c r="A83" s="143">
        <v>26079</v>
      </c>
      <c r="B83" s="149" t="s">
        <v>74</v>
      </c>
      <c r="C83" s="61">
        <f>ROUND(VLOOKUP(A83,'Contribution Allocation_Report'!$A$9:$D$311,4,FALSE)*$C$312,0)</f>
        <v>414197</v>
      </c>
      <c r="D83" s="61">
        <f>ROUND(VLOOKUP(A83,'Contribution Allocation_Report'!$A$9:$D$311,4,FALSE)*$D$312,0)</f>
        <v>516932</v>
      </c>
      <c r="E83" s="61">
        <f>ROUND(VLOOKUP(A83,'Contribution Allocation_Report'!$A$9:$D$311,4,FALSE)*$E$312,0)</f>
        <v>604489</v>
      </c>
      <c r="J83" s="166">
        <v>26079</v>
      </c>
      <c r="K83" s="205">
        <f t="shared" si="1"/>
        <v>0</v>
      </c>
    </row>
    <row r="84" spans="1:11">
      <c r="A84" s="147">
        <v>2363</v>
      </c>
      <c r="B84" s="148" t="s">
        <v>75</v>
      </c>
      <c r="C84" s="60">
        <f>ROUND(VLOOKUP(A84,'Contribution Allocation_Report'!$A$9:$D$311,4,FALSE)*$C$312,0)</f>
        <v>539566</v>
      </c>
      <c r="D84" s="60">
        <f>ROUND(VLOOKUP(A84,'Contribution Allocation_Report'!$A$9:$D$311,4,FALSE)*$D$312,0)</f>
        <v>673397</v>
      </c>
      <c r="E84" s="60">
        <f>ROUND(VLOOKUP(A84,'Contribution Allocation_Report'!$A$9:$D$311,4,FALSE)*$E$312,0)</f>
        <v>787456</v>
      </c>
      <c r="J84" s="164">
        <v>2363</v>
      </c>
      <c r="K84" s="205">
        <f t="shared" si="1"/>
        <v>0</v>
      </c>
    </row>
    <row r="85" spans="1:11">
      <c r="A85" s="143">
        <v>2364</v>
      </c>
      <c r="B85" s="149" t="s">
        <v>76</v>
      </c>
      <c r="C85" s="61">
        <f>ROUND(VLOOKUP(A85,'Contribution Allocation_Report'!$A$9:$D$311,4,FALSE)*$C$312,0)</f>
        <v>1678539</v>
      </c>
      <c r="D85" s="61">
        <f>ROUND(VLOOKUP(A85,'Contribution Allocation_Report'!$A$9:$D$311,4,FALSE)*$D$312,0)</f>
        <v>2094874</v>
      </c>
      <c r="E85" s="61">
        <f>ROUND(VLOOKUP(A85,'Contribution Allocation_Report'!$A$9:$D$311,4,FALSE)*$E$312,0)</f>
        <v>2449700</v>
      </c>
      <c r="J85" s="166">
        <v>2364</v>
      </c>
      <c r="K85" s="205">
        <f t="shared" si="1"/>
        <v>0</v>
      </c>
    </row>
    <row r="86" spans="1:11">
      <c r="A86" s="147">
        <v>25319</v>
      </c>
      <c r="B86" s="148" t="s">
        <v>77</v>
      </c>
      <c r="C86" s="60">
        <f>ROUND(VLOOKUP(A86,'Contribution Allocation_Report'!$A$9:$D$311,4,FALSE)*$C$312,0)</f>
        <v>433396</v>
      </c>
      <c r="D86" s="60">
        <f>ROUND(VLOOKUP(A86,'Contribution Allocation_Report'!$A$9:$D$311,4,FALSE)*$D$312,0)</f>
        <v>540893</v>
      </c>
      <c r="E86" s="60">
        <f>ROUND(VLOOKUP(A86,'Contribution Allocation_Report'!$A$9:$D$311,4,FALSE)*$E$312,0)</f>
        <v>632508</v>
      </c>
      <c r="J86" s="164">
        <v>25319</v>
      </c>
      <c r="K86" s="205">
        <f t="shared" si="1"/>
        <v>0</v>
      </c>
    </row>
    <row r="87" spans="1:11">
      <c r="A87" s="143">
        <v>29087</v>
      </c>
      <c r="B87" s="149" t="s">
        <v>78</v>
      </c>
      <c r="C87" s="61">
        <f>ROUND(VLOOKUP(A87,'Contribution Allocation_Report'!$A$9:$D$311,4,FALSE)*$C$312,0)</f>
        <v>2752676</v>
      </c>
      <c r="D87" s="61">
        <f>ROUND(VLOOKUP(A87,'Contribution Allocation_Report'!$A$9:$D$311,4,FALSE)*$D$312,0)</f>
        <v>3435433</v>
      </c>
      <c r="E87" s="61">
        <f>ROUND(VLOOKUP(A87,'Contribution Allocation_Report'!$A$9:$D$311,4,FALSE)*$E$312,0)</f>
        <v>4017320</v>
      </c>
      <c r="J87" s="166">
        <v>29087</v>
      </c>
      <c r="K87" s="205">
        <f t="shared" si="1"/>
        <v>0</v>
      </c>
    </row>
    <row r="88" spans="1:11">
      <c r="A88" s="147">
        <v>3060</v>
      </c>
      <c r="B88" s="148" t="s">
        <v>79</v>
      </c>
      <c r="C88" s="60">
        <f>ROUND(VLOOKUP(A88,'Contribution Allocation_Report'!$A$9:$D$311,4,FALSE)*$C$312,0)</f>
        <v>2116749</v>
      </c>
      <c r="D88" s="60">
        <f>ROUND(VLOOKUP(A88,'Contribution Allocation_Report'!$A$9:$D$311,4,FALSE)*$D$312,0)</f>
        <v>2641774</v>
      </c>
      <c r="E88" s="60">
        <f>ROUND(VLOOKUP(A88,'Contribution Allocation_Report'!$A$9:$D$311,4,FALSE)*$E$312,0)</f>
        <v>3089233</v>
      </c>
      <c r="J88" s="164">
        <v>3060</v>
      </c>
      <c r="K88" s="205">
        <f t="shared" si="1"/>
        <v>0</v>
      </c>
    </row>
    <row r="89" spans="1:11">
      <c r="A89" s="143">
        <v>19301</v>
      </c>
      <c r="B89" s="149" t="s">
        <v>80</v>
      </c>
      <c r="C89" s="61">
        <f>ROUND(VLOOKUP(A89,'Contribution Allocation_Report'!$A$9:$D$311,4,FALSE)*$C$312,0)</f>
        <v>382307</v>
      </c>
      <c r="D89" s="61">
        <f>ROUND(VLOOKUP(A89,'Contribution Allocation_Report'!$A$9:$D$311,4,FALSE)*$D$312,0)</f>
        <v>477133</v>
      </c>
      <c r="E89" s="61">
        <f>ROUND(VLOOKUP(A89,'Contribution Allocation_Report'!$A$9:$D$311,4,FALSE)*$E$312,0)</f>
        <v>557949</v>
      </c>
      <c r="J89" s="166">
        <v>19301</v>
      </c>
      <c r="K89" s="205">
        <f t="shared" si="1"/>
        <v>0</v>
      </c>
    </row>
    <row r="90" spans="1:11">
      <c r="A90" s="147">
        <v>19059</v>
      </c>
      <c r="B90" s="148" t="s">
        <v>81</v>
      </c>
      <c r="C90" s="60">
        <f>ROUND(VLOOKUP(A90,'Contribution Allocation_Report'!$A$9:$D$311,4,FALSE)*$C$312,0)</f>
        <v>14102220</v>
      </c>
      <c r="D90" s="60">
        <f>ROUND(VLOOKUP(A90,'Contribution Allocation_Report'!$A$9:$D$311,4,FALSE)*$D$312,0)</f>
        <v>17600047</v>
      </c>
      <c r="E90" s="60">
        <f>ROUND(VLOOKUP(A90,'Contribution Allocation_Report'!$A$9:$D$311,4,FALSE)*$E$312,0)</f>
        <v>20581112</v>
      </c>
      <c r="J90" s="164">
        <v>19059</v>
      </c>
      <c r="K90" s="205">
        <f t="shared" si="1"/>
        <v>0</v>
      </c>
    </row>
    <row r="91" spans="1:11">
      <c r="A91" s="143">
        <v>18057</v>
      </c>
      <c r="B91" s="149" t="s">
        <v>82</v>
      </c>
      <c r="C91" s="61">
        <f>ROUND(VLOOKUP(A91,'Contribution Allocation_Report'!$A$9:$D$311,4,FALSE)*$C$312,0)</f>
        <v>495516</v>
      </c>
      <c r="D91" s="61">
        <f>ROUND(VLOOKUP(A91,'Contribution Allocation_Report'!$A$9:$D$311,4,FALSE)*$D$312,0)</f>
        <v>618420</v>
      </c>
      <c r="E91" s="61">
        <f>ROUND(VLOOKUP(A91,'Contribution Allocation_Report'!$A$9:$D$311,4,FALSE)*$E$312,0)</f>
        <v>723167</v>
      </c>
      <c r="J91" s="166">
        <v>18057</v>
      </c>
      <c r="K91" s="205">
        <f t="shared" si="1"/>
        <v>0</v>
      </c>
    </row>
    <row r="92" spans="1:11">
      <c r="A92" s="147">
        <v>4008</v>
      </c>
      <c r="B92" s="148" t="s">
        <v>83</v>
      </c>
      <c r="C92" s="60">
        <f>ROUND(VLOOKUP(A92,'Contribution Allocation_Report'!$A$9:$D$311,4,FALSE)*$C$312,0)</f>
        <v>2083656</v>
      </c>
      <c r="D92" s="60">
        <f>ROUND(VLOOKUP(A92,'Contribution Allocation_Report'!$A$9:$D$311,4,FALSE)*$D$312,0)</f>
        <v>2600473</v>
      </c>
      <c r="E92" s="60">
        <f>ROUND(VLOOKUP(A92,'Contribution Allocation_Report'!$A$9:$D$311,4,FALSE)*$E$312,0)</f>
        <v>3040937</v>
      </c>
      <c r="J92" s="164">
        <v>4008</v>
      </c>
      <c r="K92" s="205">
        <f t="shared" si="1"/>
        <v>0</v>
      </c>
    </row>
    <row r="93" spans="1:11">
      <c r="A93" s="143">
        <v>2350</v>
      </c>
      <c r="B93" s="149" t="s">
        <v>84</v>
      </c>
      <c r="C93" s="61">
        <f>ROUND(VLOOKUP(A93,'Contribution Allocation_Report'!$A$9:$D$311,4,FALSE)*$C$312,0)</f>
        <v>741915</v>
      </c>
      <c r="D93" s="61">
        <f>ROUND(VLOOKUP(A93,'Contribution Allocation_Report'!$A$9:$D$311,4,FALSE)*$D$312,0)</f>
        <v>925935</v>
      </c>
      <c r="E93" s="61">
        <f>ROUND(VLOOKUP(A93,'Contribution Allocation_Report'!$A$9:$D$311,4,FALSE)*$E$312,0)</f>
        <v>1082768</v>
      </c>
      <c r="J93" s="166">
        <v>2350</v>
      </c>
      <c r="K93" s="205">
        <f t="shared" si="1"/>
        <v>0</v>
      </c>
    </row>
    <row r="94" spans="1:11">
      <c r="A94" s="147">
        <v>11117</v>
      </c>
      <c r="B94" s="148" t="s">
        <v>85</v>
      </c>
      <c r="C94" s="60">
        <f>ROUND(VLOOKUP(A94,'Contribution Allocation_Report'!$A$9:$D$311,4,FALSE)*$C$312,0)</f>
        <v>742936</v>
      </c>
      <c r="D94" s="60">
        <f>ROUND(VLOOKUP(A94,'Contribution Allocation_Report'!$A$9:$D$311,4,FALSE)*$D$312,0)</f>
        <v>927209</v>
      </c>
      <c r="E94" s="60">
        <f>ROUND(VLOOKUP(A94,'Contribution Allocation_Report'!$A$9:$D$311,4,FALSE)*$E$312,0)</f>
        <v>1084258</v>
      </c>
      <c r="J94" s="164">
        <v>11117</v>
      </c>
      <c r="K94" s="205">
        <f t="shared" si="1"/>
        <v>0</v>
      </c>
    </row>
    <row r="95" spans="1:11">
      <c r="A95" s="143">
        <v>16359</v>
      </c>
      <c r="B95" s="149" t="s">
        <v>86</v>
      </c>
      <c r="C95" s="61">
        <f>ROUND(VLOOKUP(A95,'Contribution Allocation_Report'!$A$9:$D$311,4,FALSE)*$C$312,0)</f>
        <v>142527</v>
      </c>
      <c r="D95" s="61">
        <f>ROUND(VLOOKUP(A95,'Contribution Allocation_Report'!$A$9:$D$311,4,FALSE)*$D$312,0)</f>
        <v>177878</v>
      </c>
      <c r="E95" s="61">
        <f>ROUND(VLOOKUP(A95,'Contribution Allocation_Report'!$A$9:$D$311,4,FALSE)*$E$312,0)</f>
        <v>208007</v>
      </c>
      <c r="J95" s="166">
        <v>16359</v>
      </c>
      <c r="K95" s="205">
        <f t="shared" si="1"/>
        <v>0</v>
      </c>
    </row>
    <row r="96" spans="1:11">
      <c r="A96" s="147">
        <v>17115</v>
      </c>
      <c r="B96" s="148" t="s">
        <v>87</v>
      </c>
      <c r="C96" s="60">
        <f>ROUND(VLOOKUP(A96,'Contribution Allocation_Report'!$A$9:$D$311,4,FALSE)*$C$312,0)</f>
        <v>2420709</v>
      </c>
      <c r="D96" s="60">
        <f>ROUND(VLOOKUP(A96,'Contribution Allocation_Report'!$A$9:$D$311,4,FALSE)*$D$312,0)</f>
        <v>3021127</v>
      </c>
      <c r="E96" s="60">
        <f>ROUND(VLOOKUP(A96,'Contribution Allocation_Report'!$A$9:$D$311,4,FALSE)*$E$312,0)</f>
        <v>3532840</v>
      </c>
      <c r="J96" s="164">
        <v>17115</v>
      </c>
      <c r="K96" s="205">
        <f t="shared" si="1"/>
        <v>0</v>
      </c>
    </row>
    <row r="97" spans="1:11">
      <c r="A97" s="143">
        <v>32117</v>
      </c>
      <c r="B97" s="149" t="s">
        <v>88</v>
      </c>
      <c r="C97" s="61">
        <f>ROUND(VLOOKUP(A97,'Contribution Allocation_Report'!$A$9:$D$311,4,FALSE)*$C$312,0)</f>
        <v>152008</v>
      </c>
      <c r="D97" s="61">
        <f>ROUND(VLOOKUP(A97,'Contribution Allocation_Report'!$A$9:$D$311,4,FALSE)*$D$312,0)</f>
        <v>189711</v>
      </c>
      <c r="E97" s="61">
        <f>ROUND(VLOOKUP(A97,'Contribution Allocation_Report'!$A$9:$D$311,4,FALSE)*$E$312,0)</f>
        <v>221844</v>
      </c>
      <c r="J97" s="166">
        <v>32117</v>
      </c>
      <c r="K97" s="205">
        <f t="shared" si="1"/>
        <v>0</v>
      </c>
    </row>
    <row r="98" spans="1:11">
      <c r="A98" s="147">
        <v>2304</v>
      </c>
      <c r="B98" s="148" t="s">
        <v>89</v>
      </c>
      <c r="C98" s="60">
        <f>ROUND(VLOOKUP(A98,'Contribution Allocation_Report'!$A$9:$D$311,4,FALSE)*$C$312,0)</f>
        <v>1071128</v>
      </c>
      <c r="D98" s="60">
        <f>ROUND(VLOOKUP(A98,'Contribution Allocation_Report'!$A$9:$D$311,4,FALSE)*$D$312,0)</f>
        <v>1336804</v>
      </c>
      <c r="E98" s="60">
        <f>ROUND(VLOOKUP(A98,'Contribution Allocation_Report'!$A$9:$D$311,4,FALSE)*$E$312,0)</f>
        <v>1563230</v>
      </c>
      <c r="J98" s="164">
        <v>2304</v>
      </c>
      <c r="K98" s="205">
        <f t="shared" si="1"/>
        <v>0</v>
      </c>
    </row>
    <row r="99" spans="1:11">
      <c r="A99" s="143">
        <v>11101</v>
      </c>
      <c r="B99" s="149" t="s">
        <v>91</v>
      </c>
      <c r="C99" s="61">
        <f>ROUND(VLOOKUP(A99,'Contribution Allocation_Report'!$A$9:$D$311,4,FALSE)*$C$312,0)</f>
        <v>12621435</v>
      </c>
      <c r="D99" s="61">
        <f>ROUND(VLOOKUP(A99,'Contribution Allocation_Report'!$A$9:$D$311,4,FALSE)*$D$312,0)</f>
        <v>15751977</v>
      </c>
      <c r="E99" s="61">
        <f>ROUND(VLOOKUP(A99,'Contribution Allocation_Report'!$A$9:$D$311,4,FALSE)*$E$312,0)</f>
        <v>18420019</v>
      </c>
      <c r="J99" s="166">
        <v>11101</v>
      </c>
      <c r="K99" s="205">
        <f t="shared" si="1"/>
        <v>0</v>
      </c>
    </row>
    <row r="100" spans="1:11">
      <c r="A100" s="147">
        <v>11102</v>
      </c>
      <c r="B100" s="148" t="s">
        <v>90</v>
      </c>
      <c r="C100" s="60">
        <f>ROUND(VLOOKUP(A100,'Contribution Allocation_Report'!$A$9:$D$311,4,FALSE)*$C$312,0)</f>
        <v>3841308</v>
      </c>
      <c r="D100" s="60">
        <f>ROUND(VLOOKUP(A100,'Contribution Allocation_Report'!$A$9:$D$311,4,FALSE)*$D$312,0)</f>
        <v>4794082</v>
      </c>
      <c r="E100" s="60">
        <f>ROUND(VLOOKUP(A100,'Contribution Allocation_Report'!$A$9:$D$311,4,FALSE)*$E$312,0)</f>
        <v>5606095</v>
      </c>
      <c r="J100" s="164">
        <v>11102</v>
      </c>
      <c r="K100" s="205">
        <f t="shared" si="1"/>
        <v>0</v>
      </c>
    </row>
    <row r="101" spans="1:11">
      <c r="A101" s="143">
        <v>3100</v>
      </c>
      <c r="B101" s="149" t="s">
        <v>92</v>
      </c>
      <c r="C101" s="61">
        <f>ROUND(VLOOKUP(A101,'Contribution Allocation_Report'!$A$9:$D$311,4,FALSE)*$C$312,0)</f>
        <v>8073401</v>
      </c>
      <c r="D101" s="61">
        <f>ROUND(VLOOKUP(A101,'Contribution Allocation_Report'!$A$9:$D$311,4,FALSE)*$D$312,0)</f>
        <v>10075878</v>
      </c>
      <c r="E101" s="61">
        <f>ROUND(VLOOKUP(A101,'Contribution Allocation_Report'!$A$9:$D$311,4,FALSE)*$E$312,0)</f>
        <v>11782512</v>
      </c>
      <c r="J101" s="166">
        <v>3100</v>
      </c>
      <c r="K101" s="205">
        <f t="shared" si="1"/>
        <v>0</v>
      </c>
    </row>
    <row r="102" spans="1:11">
      <c r="A102" s="147">
        <v>2323</v>
      </c>
      <c r="B102" s="148" t="s">
        <v>93</v>
      </c>
      <c r="C102" s="60">
        <f>ROUND(VLOOKUP(A102,'Contribution Allocation_Report'!$A$9:$D$311,4,FALSE)*$C$312,0)</f>
        <v>823361</v>
      </c>
      <c r="D102" s="60">
        <f>ROUND(VLOOKUP(A102,'Contribution Allocation_Report'!$A$9:$D$311,4,FALSE)*$D$312,0)</f>
        <v>1027583</v>
      </c>
      <c r="E102" s="60">
        <f>ROUND(VLOOKUP(A102,'Contribution Allocation_Report'!$A$9:$D$311,4,FALSE)*$E$312,0)</f>
        <v>1201633</v>
      </c>
      <c r="J102" s="164">
        <v>2323</v>
      </c>
      <c r="K102" s="205">
        <f t="shared" si="1"/>
        <v>0</v>
      </c>
    </row>
    <row r="103" spans="1:11">
      <c r="A103" s="143">
        <v>11034</v>
      </c>
      <c r="B103" s="149" t="s">
        <v>94</v>
      </c>
      <c r="C103" s="61">
        <f>ROUND(VLOOKUP(A103,'Contribution Allocation_Report'!$A$9:$D$311,4,FALSE)*$C$312,0)</f>
        <v>552749</v>
      </c>
      <c r="D103" s="61">
        <f>ROUND(VLOOKUP(A103,'Contribution Allocation_Report'!$A$9:$D$311,4,FALSE)*$D$312,0)</f>
        <v>689849</v>
      </c>
      <c r="E103" s="61">
        <f>ROUND(VLOOKUP(A103,'Contribution Allocation_Report'!$A$9:$D$311,4,FALSE)*$E$312,0)</f>
        <v>806694</v>
      </c>
      <c r="J103" s="166">
        <v>11034</v>
      </c>
      <c r="K103" s="205">
        <f t="shared" si="1"/>
        <v>0</v>
      </c>
    </row>
    <row r="104" spans="1:11">
      <c r="A104" s="147">
        <v>17054</v>
      </c>
      <c r="B104" s="148" t="s">
        <v>95</v>
      </c>
      <c r="C104" s="60">
        <f>ROUND(VLOOKUP(A104,'Contribution Allocation_Report'!$A$9:$D$311,4,FALSE)*$C$312,0)</f>
        <v>8655122</v>
      </c>
      <c r="D104" s="60">
        <f>ROUND(VLOOKUP(A104,'Contribution Allocation_Report'!$A$9:$D$311,4,FALSE)*$D$312,0)</f>
        <v>10801885</v>
      </c>
      <c r="E104" s="60">
        <f>ROUND(VLOOKUP(A104,'Contribution Allocation_Report'!$A$9:$D$311,4,FALSE)*$E$312,0)</f>
        <v>12631489</v>
      </c>
      <c r="J104" s="164">
        <v>17054</v>
      </c>
      <c r="K104" s="205">
        <f t="shared" si="1"/>
        <v>0</v>
      </c>
    </row>
    <row r="105" spans="1:11">
      <c r="A105" s="143">
        <v>22065</v>
      </c>
      <c r="B105" s="149" t="s">
        <v>96</v>
      </c>
      <c r="C105" s="61">
        <f>ROUND(VLOOKUP(A105,'Contribution Allocation_Report'!$A$9:$D$311,4,FALSE)*$C$312,0)</f>
        <v>1936826</v>
      </c>
      <c r="D105" s="61">
        <f>ROUND(VLOOKUP(A105,'Contribution Allocation_Report'!$A$9:$D$311,4,FALSE)*$D$312,0)</f>
        <v>2417225</v>
      </c>
      <c r="E105" s="61">
        <f>ROUND(VLOOKUP(A105,'Contribution Allocation_Report'!$A$9:$D$311,4,FALSE)*$E$312,0)</f>
        <v>2826650</v>
      </c>
      <c r="J105" s="166">
        <v>22065</v>
      </c>
      <c r="K105" s="205">
        <f t="shared" si="1"/>
        <v>0</v>
      </c>
    </row>
    <row r="106" spans="1:11">
      <c r="A106" s="147">
        <v>22201</v>
      </c>
      <c r="B106" s="148" t="s">
        <v>97</v>
      </c>
      <c r="C106" s="60">
        <f>ROUND(VLOOKUP(A106,'Contribution Allocation_Report'!$A$9:$D$311,4,FALSE)*$C$312,0)</f>
        <v>993584</v>
      </c>
      <c r="D106" s="60">
        <f>ROUND(VLOOKUP(A106,'Contribution Allocation_Report'!$A$9:$D$311,4,FALSE)*$D$312,0)</f>
        <v>1240026</v>
      </c>
      <c r="E106" s="60">
        <f>ROUND(VLOOKUP(A106,'Contribution Allocation_Report'!$A$9:$D$311,4,FALSE)*$E$312,0)</f>
        <v>1450060</v>
      </c>
      <c r="J106" s="164">
        <v>22201</v>
      </c>
      <c r="K106" s="205">
        <f t="shared" si="1"/>
        <v>0</v>
      </c>
    </row>
    <row r="107" spans="1:11">
      <c r="A107" s="143">
        <v>6016</v>
      </c>
      <c r="B107" s="149" t="s">
        <v>98</v>
      </c>
      <c r="C107" s="61">
        <f>ROUND(VLOOKUP(A107,'Contribution Allocation_Report'!$A$9:$D$311,4,FALSE)*$C$312,0)</f>
        <v>2023670</v>
      </c>
      <c r="D107" s="61">
        <f>ROUND(VLOOKUP(A107,'Contribution Allocation_Report'!$A$9:$D$311,4,FALSE)*$D$312,0)</f>
        <v>2525608</v>
      </c>
      <c r="E107" s="61">
        <f>ROUND(VLOOKUP(A107,'Contribution Allocation_Report'!$A$9:$D$311,4,FALSE)*$E$312,0)</f>
        <v>2953391</v>
      </c>
      <c r="J107" s="166">
        <v>6016</v>
      </c>
      <c r="K107" s="205">
        <f t="shared" si="1"/>
        <v>0</v>
      </c>
    </row>
    <row r="108" spans="1:11">
      <c r="A108" s="147">
        <v>2432</v>
      </c>
      <c r="B108" s="148" t="s">
        <v>99</v>
      </c>
      <c r="C108" s="60">
        <f>ROUND(VLOOKUP(A108,'Contribution Allocation_Report'!$A$9:$D$311,4,FALSE)*$C$312,0)</f>
        <v>2112810</v>
      </c>
      <c r="D108" s="60">
        <f>ROUND(VLOOKUP(A108,'Contribution Allocation_Report'!$A$9:$D$311,4,FALSE)*$D$312,0)</f>
        <v>2636859</v>
      </c>
      <c r="E108" s="60">
        <f>ROUND(VLOOKUP(A108,'Contribution Allocation_Report'!$A$9:$D$311,4,FALSE)*$E$312,0)</f>
        <v>3083485</v>
      </c>
      <c r="J108" s="166">
        <v>2432</v>
      </c>
      <c r="K108" s="205">
        <f t="shared" si="1"/>
        <v>0</v>
      </c>
    </row>
    <row r="109" spans="1:11">
      <c r="A109" s="143">
        <v>7440</v>
      </c>
      <c r="B109" s="149" t="s">
        <v>532</v>
      </c>
      <c r="C109" s="61">
        <f>ROUND(VLOOKUP(A109,'Contribution Allocation_Report'!$A$9:$D$311,4,FALSE)*$C$312,0)</f>
        <v>212814</v>
      </c>
      <c r="D109" s="61">
        <f>ROUND(VLOOKUP(A109,'Contribution Allocation_Report'!$A$9:$D$311,4,FALSE)*$D$312,0)</f>
        <v>265600</v>
      </c>
      <c r="E109" s="61">
        <f>ROUND(VLOOKUP(A109,'Contribution Allocation_Report'!$A$9:$D$311,4,FALSE)*$E$312,0)</f>
        <v>310586</v>
      </c>
      <c r="J109" s="164">
        <v>7440</v>
      </c>
      <c r="K109" s="205">
        <f t="shared" si="1"/>
        <v>0</v>
      </c>
    </row>
    <row r="110" spans="1:11">
      <c r="A110" s="147">
        <v>16052</v>
      </c>
      <c r="B110" s="148" t="s">
        <v>100</v>
      </c>
      <c r="C110" s="60">
        <f>ROUND(VLOOKUP(A110,'Contribution Allocation_Report'!$A$9:$D$311,4,FALSE)*$C$312,0)</f>
        <v>24801724</v>
      </c>
      <c r="D110" s="60">
        <f>ROUND(VLOOKUP(A110,'Contribution Allocation_Report'!$A$9:$D$311,4,FALSE)*$D$312,0)</f>
        <v>30953390</v>
      </c>
      <c r="E110" s="60">
        <f>ROUND(VLOOKUP(A110,'Contribution Allocation_Report'!$A$9:$D$311,4,FALSE)*$E$312,0)</f>
        <v>36196220</v>
      </c>
      <c r="J110" s="164">
        <v>16052</v>
      </c>
      <c r="K110" s="205">
        <f t="shared" si="1"/>
        <v>0</v>
      </c>
    </row>
    <row r="111" spans="1:11">
      <c r="A111" s="143">
        <v>11118</v>
      </c>
      <c r="B111" s="149" t="s">
        <v>101</v>
      </c>
      <c r="C111" s="61">
        <f>ROUND(VLOOKUP(A111,'Contribution Allocation_Report'!$A$9:$D$311,4,FALSE)*$C$312,0)</f>
        <v>673687</v>
      </c>
      <c r="D111" s="61">
        <f>ROUND(VLOOKUP(A111,'Contribution Allocation_Report'!$A$9:$D$311,4,FALSE)*$D$312,0)</f>
        <v>840785</v>
      </c>
      <c r="E111" s="61">
        <f>ROUND(VLOOKUP(A111,'Contribution Allocation_Report'!$A$9:$D$311,4,FALSE)*$E$312,0)</f>
        <v>983195</v>
      </c>
      <c r="J111" s="166">
        <v>11118</v>
      </c>
      <c r="K111" s="205">
        <f t="shared" si="1"/>
        <v>0</v>
      </c>
    </row>
    <row r="112" spans="1:11">
      <c r="A112" s="147">
        <v>27083</v>
      </c>
      <c r="B112" s="148" t="s">
        <v>102</v>
      </c>
      <c r="C112" s="60">
        <f>ROUND(VLOOKUP(A112,'Contribution Allocation_Report'!$A$9:$D$311,4,FALSE)*$C$312,0)</f>
        <v>1021225</v>
      </c>
      <c r="D112" s="60">
        <f>ROUND(VLOOKUP(A112,'Contribution Allocation_Report'!$A$9:$D$311,4,FALSE)*$D$312,0)</f>
        <v>1274523</v>
      </c>
      <c r="E112" s="60">
        <f>ROUND(VLOOKUP(A112,'Contribution Allocation_Report'!$A$9:$D$311,4,FALSE)*$E$312,0)</f>
        <v>1490400</v>
      </c>
      <c r="J112" s="164">
        <v>27083</v>
      </c>
      <c r="K112" s="205">
        <f t="shared" si="1"/>
        <v>0</v>
      </c>
    </row>
    <row r="113" spans="1:11">
      <c r="A113" s="143">
        <v>7021</v>
      </c>
      <c r="B113" s="149" t="s">
        <v>103</v>
      </c>
      <c r="C113" s="61">
        <f>ROUND(VLOOKUP(A113,'Contribution Allocation_Report'!$A$9:$D$311,4,FALSE)*$C$312,0)</f>
        <v>33297217</v>
      </c>
      <c r="D113" s="61">
        <f>ROUND(VLOOKUP(A113,'Contribution Allocation_Report'!$A$9:$D$311,4,FALSE)*$D$312,0)</f>
        <v>41556053</v>
      </c>
      <c r="E113" s="61">
        <f>ROUND(VLOOKUP(A113,'Contribution Allocation_Report'!$A$9:$D$311,4,FALSE)*$E$312,0)</f>
        <v>48594743</v>
      </c>
      <c r="J113" s="166">
        <v>7021</v>
      </c>
      <c r="K113" s="205">
        <f t="shared" si="1"/>
        <v>0</v>
      </c>
    </row>
    <row r="114" spans="1:11">
      <c r="A114" s="147">
        <v>4140</v>
      </c>
      <c r="B114" s="148" t="s">
        <v>104</v>
      </c>
      <c r="C114" s="60">
        <f>ROUND(VLOOKUP(A114,'Contribution Allocation_Report'!$A$9:$D$311,4,FALSE)*$C$312,0)</f>
        <v>204172</v>
      </c>
      <c r="D114" s="60">
        <f>ROUND(VLOOKUP(A114,'Contribution Allocation_Report'!$A$9:$D$311,4,FALSE)*$D$312,0)</f>
        <v>254814</v>
      </c>
      <c r="E114" s="60">
        <f>ROUND(VLOOKUP(A114,'Contribution Allocation_Report'!$A$9:$D$311,4,FALSE)*$E$312,0)</f>
        <v>297973</v>
      </c>
      <c r="J114" s="164">
        <v>4140</v>
      </c>
      <c r="K114" s="205">
        <f t="shared" si="1"/>
        <v>0</v>
      </c>
    </row>
    <row r="115" spans="1:11">
      <c r="A115" s="143">
        <v>13041</v>
      </c>
      <c r="B115" s="149" t="s">
        <v>105</v>
      </c>
      <c r="C115" s="61">
        <f>ROUND(VLOOKUP(A115,'Contribution Allocation_Report'!$A$9:$D$311,4,FALSE)*$C$312,0)</f>
        <v>29219866</v>
      </c>
      <c r="D115" s="61">
        <f>ROUND(VLOOKUP(A115,'Contribution Allocation_Report'!$A$9:$D$311,4,FALSE)*$D$312,0)</f>
        <v>36467381</v>
      </c>
      <c r="E115" s="61">
        <f>ROUND(VLOOKUP(A115,'Contribution Allocation_Report'!$A$9:$D$311,4,FALSE)*$E$312,0)</f>
        <v>42644161</v>
      </c>
      <c r="J115" s="166">
        <v>13041</v>
      </c>
      <c r="K115" s="205">
        <f t="shared" si="1"/>
        <v>0</v>
      </c>
    </row>
    <row r="116" spans="1:11">
      <c r="A116" s="147">
        <v>2339</v>
      </c>
      <c r="B116" s="148" t="s">
        <v>106</v>
      </c>
      <c r="C116" s="60">
        <f>ROUND(VLOOKUP(A116,'Contribution Allocation_Report'!$A$9:$D$311,4,FALSE)*$C$312,0)</f>
        <v>389127</v>
      </c>
      <c r="D116" s="60">
        <f>ROUND(VLOOKUP(A116,'Contribution Allocation_Report'!$A$9:$D$311,4,FALSE)*$D$312,0)</f>
        <v>485643</v>
      </c>
      <c r="E116" s="60">
        <f>ROUND(VLOOKUP(A116,'Contribution Allocation_Report'!$A$9:$D$311,4,FALSE)*$E$312,0)</f>
        <v>567901</v>
      </c>
      <c r="J116" s="164">
        <v>2339</v>
      </c>
      <c r="K116" s="205">
        <f t="shared" si="1"/>
        <v>0</v>
      </c>
    </row>
    <row r="117" spans="1:11">
      <c r="A117" s="143">
        <v>2362</v>
      </c>
      <c r="B117" s="149" t="s">
        <v>107</v>
      </c>
      <c r="C117" s="61">
        <f>ROUND(VLOOKUP(A117,'Contribution Allocation_Report'!$A$9:$D$311,4,FALSE)*$C$312,0)</f>
        <v>604877</v>
      </c>
      <c r="D117" s="61">
        <f>ROUND(VLOOKUP(A117,'Contribution Allocation_Report'!$A$9:$D$311,4,FALSE)*$D$312,0)</f>
        <v>754906</v>
      </c>
      <c r="E117" s="61">
        <f>ROUND(VLOOKUP(A117,'Contribution Allocation_Report'!$A$9:$D$311,4,FALSE)*$E$312,0)</f>
        <v>882771</v>
      </c>
      <c r="J117" s="166">
        <v>2362</v>
      </c>
      <c r="K117" s="205">
        <f t="shared" si="1"/>
        <v>0</v>
      </c>
    </row>
    <row r="118" spans="1:11">
      <c r="A118" s="147">
        <v>5013</v>
      </c>
      <c r="B118" s="148" t="s">
        <v>108</v>
      </c>
      <c r="C118" s="60">
        <f>ROUND(VLOOKUP(A118,'Contribution Allocation_Report'!$A$9:$D$311,4,FALSE)*$C$312,0)</f>
        <v>535136</v>
      </c>
      <c r="D118" s="60">
        <f>ROUND(VLOOKUP(A118,'Contribution Allocation_Report'!$A$9:$D$311,4,FALSE)*$D$312,0)</f>
        <v>667867</v>
      </c>
      <c r="E118" s="60">
        <f>ROUND(VLOOKUP(A118,'Contribution Allocation_Report'!$A$9:$D$311,4,FALSE)*$E$312,0)</f>
        <v>780990</v>
      </c>
      <c r="J118" s="164">
        <v>5013</v>
      </c>
      <c r="K118" s="205">
        <f t="shared" si="1"/>
        <v>0</v>
      </c>
    </row>
    <row r="119" spans="1:11">
      <c r="A119" s="143">
        <v>3110</v>
      </c>
      <c r="B119" s="149" t="s">
        <v>109</v>
      </c>
      <c r="C119" s="61">
        <f>ROUND(VLOOKUP(A119,'Contribution Allocation_Report'!$A$9:$D$311,4,FALSE)*$C$312,0)</f>
        <v>2607196</v>
      </c>
      <c r="D119" s="61">
        <f>ROUND(VLOOKUP(A119,'Contribution Allocation_Report'!$A$9:$D$311,4,FALSE)*$D$312,0)</f>
        <v>3253868</v>
      </c>
      <c r="E119" s="61">
        <f>ROUND(VLOOKUP(A119,'Contribution Allocation_Report'!$A$9:$D$311,4,FALSE)*$E$312,0)</f>
        <v>3805003</v>
      </c>
      <c r="J119" s="166">
        <v>3110</v>
      </c>
      <c r="K119" s="205">
        <f t="shared" si="1"/>
        <v>0</v>
      </c>
    </row>
    <row r="120" spans="1:11">
      <c r="A120" s="147">
        <v>14044</v>
      </c>
      <c r="B120" s="148" t="s">
        <v>110</v>
      </c>
      <c r="C120" s="60">
        <f>ROUND(VLOOKUP(A120,'Contribution Allocation_Report'!$A$9:$D$311,4,FALSE)*$C$312,0)</f>
        <v>8287747</v>
      </c>
      <c r="D120" s="60">
        <f>ROUND(VLOOKUP(A120,'Contribution Allocation_Report'!$A$9:$D$311,4,FALSE)*$D$312,0)</f>
        <v>10343389</v>
      </c>
      <c r="E120" s="60">
        <f>ROUND(VLOOKUP(A120,'Contribution Allocation_Report'!$A$9:$D$311,4,FALSE)*$E$312,0)</f>
        <v>12095334</v>
      </c>
      <c r="J120" s="164">
        <v>14044</v>
      </c>
      <c r="K120" s="205">
        <f t="shared" si="1"/>
        <v>0</v>
      </c>
    </row>
    <row r="121" spans="1:11">
      <c r="A121" s="143">
        <v>4009</v>
      </c>
      <c r="B121" s="149" t="s">
        <v>111</v>
      </c>
      <c r="C121" s="61">
        <f>ROUND(VLOOKUP(A121,'Contribution Allocation_Report'!$A$9:$D$311,4,FALSE)*$C$312,0)</f>
        <v>1074903</v>
      </c>
      <c r="D121" s="61">
        <f>ROUND(VLOOKUP(A121,'Contribution Allocation_Report'!$A$9:$D$311,4,FALSE)*$D$312,0)</f>
        <v>1341515</v>
      </c>
      <c r="E121" s="61">
        <f>ROUND(VLOOKUP(A121,'Contribution Allocation_Report'!$A$9:$D$311,4,FALSE)*$E$312,0)</f>
        <v>1568738</v>
      </c>
      <c r="J121" s="166">
        <v>4009</v>
      </c>
      <c r="K121" s="205">
        <f t="shared" si="1"/>
        <v>0</v>
      </c>
    </row>
    <row r="122" spans="1:11">
      <c r="A122" s="147">
        <v>7022</v>
      </c>
      <c r="B122" s="148" t="s">
        <v>112</v>
      </c>
      <c r="C122" s="60">
        <f>ROUND(VLOOKUP(A122,'Contribution Allocation_Report'!$A$9:$D$311,4,FALSE)*$C$312,0)</f>
        <v>3336548</v>
      </c>
      <c r="D122" s="60">
        <f>ROUND(VLOOKUP(A122,'Contribution Allocation_Report'!$A$9:$D$311,4,FALSE)*$D$312,0)</f>
        <v>4164125</v>
      </c>
      <c r="E122" s="60">
        <f>ROUND(VLOOKUP(A122,'Contribution Allocation_Report'!$A$9:$D$311,4,FALSE)*$E$312,0)</f>
        <v>4869437</v>
      </c>
      <c r="J122" s="164">
        <v>7022</v>
      </c>
      <c r="K122" s="205">
        <f t="shared" si="1"/>
        <v>0</v>
      </c>
    </row>
    <row r="123" spans="1:11">
      <c r="A123" s="143">
        <v>2430</v>
      </c>
      <c r="B123" s="149" t="s">
        <v>113</v>
      </c>
      <c r="C123" s="61">
        <f>ROUND(VLOOKUP(A123,'Contribution Allocation_Report'!$A$9:$D$311,4,FALSE)*$C$312,0)</f>
        <v>475423</v>
      </c>
      <c r="D123" s="61">
        <f>ROUND(VLOOKUP(A123,'Contribution Allocation_Report'!$A$9:$D$311,4,FALSE)*$D$312,0)</f>
        <v>593344</v>
      </c>
      <c r="E123" s="61">
        <f>ROUND(VLOOKUP(A123,'Contribution Allocation_Report'!$A$9:$D$311,4,FALSE)*$E$312,0)</f>
        <v>693843</v>
      </c>
      <c r="J123" s="166">
        <v>2430</v>
      </c>
      <c r="K123" s="205">
        <f t="shared" si="1"/>
        <v>0</v>
      </c>
    </row>
    <row r="124" spans="1:11">
      <c r="A124" s="147">
        <v>9150</v>
      </c>
      <c r="B124" s="148" t="s">
        <v>114</v>
      </c>
      <c r="C124" s="60">
        <f>ROUND(VLOOKUP(A124,'Contribution Allocation_Report'!$A$9:$D$311,4,FALSE)*$C$312,0)</f>
        <v>248022</v>
      </c>
      <c r="D124" s="60">
        <f>ROUND(VLOOKUP(A124,'Contribution Allocation_Report'!$A$9:$D$311,4,FALSE)*$D$312,0)</f>
        <v>309540</v>
      </c>
      <c r="E124" s="60">
        <f>ROUND(VLOOKUP(A124,'Contribution Allocation_Report'!$A$9:$D$311,4,FALSE)*$E$312,0)</f>
        <v>361969</v>
      </c>
      <c r="J124" s="164">
        <v>9150</v>
      </c>
      <c r="K124" s="205">
        <f t="shared" si="1"/>
        <v>0</v>
      </c>
    </row>
    <row r="125" spans="1:11">
      <c r="A125" s="143">
        <v>6017</v>
      </c>
      <c r="B125" s="149" t="s">
        <v>115</v>
      </c>
      <c r="C125" s="61">
        <f>ROUND(VLOOKUP(A125,'Contribution Allocation_Report'!$A$9:$D$311,4,FALSE)*$C$312,0)</f>
        <v>23251709</v>
      </c>
      <c r="D125" s="61">
        <f>ROUND(VLOOKUP(A125,'Contribution Allocation_Report'!$A$9:$D$311,4,FALSE)*$D$312,0)</f>
        <v>29018918</v>
      </c>
      <c r="E125" s="61">
        <f>ROUND(VLOOKUP(A125,'Contribution Allocation_Report'!$A$9:$D$311,4,FALSE)*$E$312,0)</f>
        <v>33934091</v>
      </c>
      <c r="J125" s="166">
        <v>6017</v>
      </c>
      <c r="K125" s="205">
        <f t="shared" si="1"/>
        <v>0</v>
      </c>
    </row>
    <row r="126" spans="1:11">
      <c r="A126" s="147">
        <v>26080</v>
      </c>
      <c r="B126" s="148" t="s">
        <v>116</v>
      </c>
      <c r="C126" s="60">
        <f>ROUND(VLOOKUP(A126,'Contribution Allocation_Report'!$A$9:$D$311,4,FALSE)*$C$312,0)</f>
        <v>745890</v>
      </c>
      <c r="D126" s="60">
        <f>ROUND(VLOOKUP(A126,'Contribution Allocation_Report'!$A$9:$D$311,4,FALSE)*$D$312,0)</f>
        <v>930896</v>
      </c>
      <c r="E126" s="60">
        <f>ROUND(VLOOKUP(A126,'Contribution Allocation_Report'!$A$9:$D$311,4,FALSE)*$E$312,0)</f>
        <v>1088569</v>
      </c>
      <c r="J126" s="164">
        <v>26080</v>
      </c>
      <c r="K126" s="205">
        <f t="shared" si="1"/>
        <v>0</v>
      </c>
    </row>
    <row r="127" spans="1:11">
      <c r="A127" s="143">
        <v>2327</v>
      </c>
      <c r="B127" s="149" t="s">
        <v>117</v>
      </c>
      <c r="C127" s="61">
        <f>ROUND(VLOOKUP(A127,'Contribution Allocation_Report'!$A$9:$D$311,4,FALSE)*$C$312,0)</f>
        <v>799330</v>
      </c>
      <c r="D127" s="61">
        <f>ROUND(VLOOKUP(A127,'Contribution Allocation_Report'!$A$9:$D$311,4,FALSE)*$D$312,0)</f>
        <v>997591</v>
      </c>
      <c r="E127" s="61">
        <f>ROUND(VLOOKUP(A127,'Contribution Allocation_Report'!$A$9:$D$311,4,FALSE)*$E$312,0)</f>
        <v>1166562</v>
      </c>
      <c r="J127" s="166">
        <v>2327</v>
      </c>
      <c r="K127" s="205">
        <f t="shared" si="1"/>
        <v>0</v>
      </c>
    </row>
    <row r="128" spans="1:11">
      <c r="A128" s="147">
        <v>10119</v>
      </c>
      <c r="B128" s="148" t="s">
        <v>118</v>
      </c>
      <c r="C128" s="60">
        <f>ROUND(VLOOKUP(A128,'Contribution Allocation_Report'!$A$9:$D$311,4,FALSE)*$C$312,0)</f>
        <v>406648</v>
      </c>
      <c r="D128" s="60">
        <f>ROUND(VLOOKUP(A128,'Contribution Allocation_Report'!$A$9:$D$311,4,FALSE)*$D$312,0)</f>
        <v>507511</v>
      </c>
      <c r="E128" s="60">
        <f>ROUND(VLOOKUP(A128,'Contribution Allocation_Report'!$A$9:$D$311,4,FALSE)*$E$312,0)</f>
        <v>593472</v>
      </c>
      <c r="J128" s="164">
        <v>10119</v>
      </c>
      <c r="K128" s="205">
        <f t="shared" si="1"/>
        <v>0</v>
      </c>
    </row>
    <row r="129" spans="1:11">
      <c r="A129" s="143">
        <v>573</v>
      </c>
      <c r="B129" s="149" t="s">
        <v>411</v>
      </c>
      <c r="C129" s="61">
        <f>ROUND(VLOOKUP(A129,'Contribution Allocation_Report'!$A$9:$D$311,4,FALSE)*$C$312,0)</f>
        <v>1041026</v>
      </c>
      <c r="D129" s="61">
        <f>ROUND(VLOOKUP(A129,'Contribution Allocation_Report'!$A$9:$D$311,4,FALSE)*$D$312,0)</f>
        <v>1299235</v>
      </c>
      <c r="E129" s="61">
        <f>ROUND(VLOOKUP(A129,'Contribution Allocation_Report'!$A$9:$D$311,4,FALSE)*$E$312,0)</f>
        <v>1519298</v>
      </c>
      <c r="J129" s="166">
        <v>573</v>
      </c>
      <c r="K129" s="205">
        <f t="shared" si="1"/>
        <v>0</v>
      </c>
    </row>
    <row r="130" spans="1:11">
      <c r="A130" s="147">
        <v>2368</v>
      </c>
      <c r="B130" s="148" t="s">
        <v>119</v>
      </c>
      <c r="C130" s="60">
        <f>ROUND(VLOOKUP(A130,'Contribution Allocation_Report'!$A$9:$D$311,4,FALSE)*$C$312,0)</f>
        <v>779694</v>
      </c>
      <c r="D130" s="60">
        <f>ROUND(VLOOKUP(A130,'Contribution Allocation_Report'!$A$9:$D$311,4,FALSE)*$D$312,0)</f>
        <v>973084</v>
      </c>
      <c r="E130" s="60">
        <f>ROUND(VLOOKUP(A130,'Contribution Allocation_Report'!$A$9:$D$311,4,FALSE)*$E$312,0)</f>
        <v>1137903</v>
      </c>
      <c r="J130" s="164">
        <v>2368</v>
      </c>
      <c r="K130" s="205">
        <f t="shared" si="1"/>
        <v>0</v>
      </c>
    </row>
    <row r="131" spans="1:11">
      <c r="A131" s="143">
        <v>7420</v>
      </c>
      <c r="B131" s="149" t="s">
        <v>120</v>
      </c>
      <c r="C131" s="61">
        <f>ROUND(VLOOKUP(A131,'Contribution Allocation_Report'!$A$9:$D$311,4,FALSE)*$C$312,0)</f>
        <v>474967</v>
      </c>
      <c r="D131" s="61">
        <f>ROUND(VLOOKUP(A131,'Contribution Allocation_Report'!$A$9:$D$311,4,FALSE)*$D$312,0)</f>
        <v>592775</v>
      </c>
      <c r="E131" s="61">
        <f>ROUND(VLOOKUP(A131,'Contribution Allocation_Report'!$A$9:$D$311,4,FALSE)*$E$312,0)</f>
        <v>693178</v>
      </c>
      <c r="J131" s="166">
        <v>7420</v>
      </c>
      <c r="K131" s="205">
        <f t="shared" si="1"/>
        <v>0</v>
      </c>
    </row>
    <row r="132" spans="1:11">
      <c r="A132" s="147">
        <v>6018</v>
      </c>
      <c r="B132" s="148" t="s">
        <v>121</v>
      </c>
      <c r="C132" s="60">
        <f>ROUND(VLOOKUP(A132,'Contribution Allocation_Report'!$A$9:$D$311,4,FALSE)*$C$312,0)</f>
        <v>1331713</v>
      </c>
      <c r="D132" s="60">
        <f>ROUND(VLOOKUP(A132,'Contribution Allocation_Report'!$A$9:$D$311,4,FALSE)*$D$312,0)</f>
        <v>1662023</v>
      </c>
      <c r="E132" s="60">
        <f>ROUND(VLOOKUP(A132,'Contribution Allocation_Report'!$A$9:$D$311,4,FALSE)*$E$312,0)</f>
        <v>1943533</v>
      </c>
      <c r="J132" s="164">
        <v>6018</v>
      </c>
      <c r="K132" s="205">
        <f t="shared" si="1"/>
        <v>0</v>
      </c>
    </row>
    <row r="133" spans="1:11">
      <c r="A133" s="143">
        <v>3321</v>
      </c>
      <c r="B133" s="149" t="s">
        <v>122</v>
      </c>
      <c r="C133" s="61">
        <f>ROUND(VLOOKUP(A133,'Contribution Allocation_Report'!$A$9:$D$311,4,FALSE)*$C$312,0)</f>
        <v>673870</v>
      </c>
      <c r="D133" s="61">
        <f>ROUND(VLOOKUP(A133,'Contribution Allocation_Report'!$A$9:$D$311,4,FALSE)*$D$312,0)</f>
        <v>841012</v>
      </c>
      <c r="E133" s="61">
        <f>ROUND(VLOOKUP(A133,'Contribution Allocation_Report'!$A$9:$D$311,4,FALSE)*$E$312,0)</f>
        <v>983461</v>
      </c>
      <c r="J133" s="166">
        <v>3321</v>
      </c>
      <c r="K133" s="205">
        <f t="shared" si="1"/>
        <v>0</v>
      </c>
    </row>
    <row r="134" spans="1:11">
      <c r="A134" s="147">
        <v>29122</v>
      </c>
      <c r="B134" s="148" t="s">
        <v>123</v>
      </c>
      <c r="C134" s="60">
        <f>ROUND(VLOOKUP(A134,'Contribution Allocation_Report'!$A$9:$D$311,4,FALSE)*$C$312,0)</f>
        <v>724740</v>
      </c>
      <c r="D134" s="60">
        <f>ROUND(VLOOKUP(A134,'Contribution Allocation_Report'!$A$9:$D$311,4,FALSE)*$D$312,0)</f>
        <v>904500</v>
      </c>
      <c r="E134" s="60">
        <f>ROUND(VLOOKUP(A134,'Contribution Allocation_Report'!$A$9:$D$311,4,FALSE)*$E$312,0)</f>
        <v>1057702</v>
      </c>
      <c r="J134" s="164">
        <v>29122</v>
      </c>
      <c r="K134" s="205">
        <f t="shared" si="1"/>
        <v>0</v>
      </c>
    </row>
    <row r="135" spans="1:11">
      <c r="A135" s="143">
        <v>29088</v>
      </c>
      <c r="B135" s="149" t="s">
        <v>124</v>
      </c>
      <c r="C135" s="61">
        <f>ROUND(VLOOKUP(A135,'Contribution Allocation_Report'!$A$9:$D$311,4,FALSE)*$C$312,0)</f>
        <v>1015554</v>
      </c>
      <c r="D135" s="61">
        <f>ROUND(VLOOKUP(A135,'Contribution Allocation_Report'!$A$9:$D$311,4,FALSE)*$D$312,0)</f>
        <v>1267446</v>
      </c>
      <c r="E135" s="61">
        <f>ROUND(VLOOKUP(A135,'Contribution Allocation_Report'!$A$9:$D$311,4,FALSE)*$E$312,0)</f>
        <v>1482124</v>
      </c>
      <c r="J135" s="166">
        <v>29088</v>
      </c>
      <c r="K135" s="205">
        <f t="shared" si="1"/>
        <v>0</v>
      </c>
    </row>
    <row r="136" spans="1:11">
      <c r="A136" s="147">
        <v>7337</v>
      </c>
      <c r="B136" s="148" t="s">
        <v>125</v>
      </c>
      <c r="C136" s="60">
        <f>ROUND(VLOOKUP(A136,'Contribution Allocation_Report'!$A$9:$D$311,4,FALSE)*$C$312,0)</f>
        <v>277304</v>
      </c>
      <c r="D136" s="60">
        <f>ROUND(VLOOKUP(A136,'Contribution Allocation_Report'!$A$9:$D$311,4,FALSE)*$D$312,0)</f>
        <v>346085</v>
      </c>
      <c r="E136" s="60">
        <f>ROUND(VLOOKUP(A136,'Contribution Allocation_Report'!$A$9:$D$311,4,FALSE)*$E$312,0)</f>
        <v>404704</v>
      </c>
      <c r="J136" s="164">
        <v>7337</v>
      </c>
      <c r="K136" s="205">
        <f t="shared" si="1"/>
        <v>0</v>
      </c>
    </row>
    <row r="137" spans="1:11">
      <c r="A137" s="143">
        <v>2329</v>
      </c>
      <c r="B137" s="149" t="s">
        <v>126</v>
      </c>
      <c r="C137" s="61">
        <f>ROUND(VLOOKUP(A137,'Contribution Allocation_Report'!$A$9:$D$311,4,FALSE)*$C$312,0)</f>
        <v>864896</v>
      </c>
      <c r="D137" s="61">
        <f>ROUND(VLOOKUP(A137,'Contribution Allocation_Report'!$A$9:$D$311,4,FALSE)*$D$312,0)</f>
        <v>1079419</v>
      </c>
      <c r="E137" s="61">
        <f>ROUND(VLOOKUP(A137,'Contribution Allocation_Report'!$A$9:$D$311,4,FALSE)*$E$312,0)</f>
        <v>1262249</v>
      </c>
      <c r="J137" s="166">
        <v>2329</v>
      </c>
      <c r="K137" s="205">
        <f t="shared" ref="K137:K200" si="2">+A137-J137</f>
        <v>0</v>
      </c>
    </row>
    <row r="138" spans="1:11">
      <c r="A138" s="147">
        <v>17425</v>
      </c>
      <c r="B138" s="148" t="s">
        <v>128</v>
      </c>
      <c r="C138" s="60">
        <f>ROUND(VLOOKUP(A138,'Contribution Allocation_Report'!$A$9:$D$311,4,FALSE)*$C$312,0)</f>
        <v>165409</v>
      </c>
      <c r="D138" s="60">
        <f>ROUND(VLOOKUP(A138,'Contribution Allocation_Report'!$A$9:$D$311,4,FALSE)*$D$312,0)</f>
        <v>206436</v>
      </c>
      <c r="E138" s="60">
        <f>ROUND(VLOOKUP(A138,'Contribution Allocation_Report'!$A$9:$D$311,4,FALSE)*$E$312,0)</f>
        <v>241402</v>
      </c>
      <c r="J138" s="164">
        <v>17425</v>
      </c>
      <c r="K138" s="205">
        <f t="shared" si="2"/>
        <v>0</v>
      </c>
    </row>
    <row r="139" spans="1:11">
      <c r="A139" s="143">
        <v>4010</v>
      </c>
      <c r="B139" s="149" t="s">
        <v>129</v>
      </c>
      <c r="C139" s="61">
        <f>ROUND(VLOOKUP(A139,'Contribution Allocation_Report'!$A$9:$D$311,4,FALSE)*$C$312,0)</f>
        <v>512089</v>
      </c>
      <c r="D139" s="61">
        <f>ROUND(VLOOKUP(A139,'Contribution Allocation_Report'!$A$9:$D$311,4,FALSE)*$D$312,0)</f>
        <v>639105</v>
      </c>
      <c r="E139" s="61">
        <f>ROUND(VLOOKUP(A139,'Contribution Allocation_Report'!$A$9:$D$311,4,FALSE)*$E$312,0)</f>
        <v>747355</v>
      </c>
      <c r="J139" s="166">
        <v>4010</v>
      </c>
      <c r="K139" s="205">
        <f t="shared" si="2"/>
        <v>0</v>
      </c>
    </row>
    <row r="140" spans="1:11">
      <c r="A140" s="147">
        <v>7023</v>
      </c>
      <c r="B140" s="148" t="s">
        <v>130</v>
      </c>
      <c r="C140" s="60">
        <f>ROUND(VLOOKUP(A140,'Contribution Allocation_Report'!$A$9:$D$311,4,FALSE)*$C$312,0)</f>
        <v>60241837</v>
      </c>
      <c r="D140" s="60">
        <f>ROUND(VLOOKUP(A140,'Contribution Allocation_Report'!$A$9:$D$311,4,FALSE)*$D$312,0)</f>
        <v>75183848</v>
      </c>
      <c r="E140" s="60">
        <f>ROUND(VLOOKUP(A140,'Contribution Allocation_Report'!$A$9:$D$311,4,FALSE)*$E$312,0)</f>
        <v>87918354</v>
      </c>
      <c r="J140" s="164">
        <v>7023</v>
      </c>
      <c r="K140" s="205">
        <f t="shared" si="2"/>
        <v>0</v>
      </c>
    </row>
    <row r="141" spans="1:11">
      <c r="A141" s="143">
        <v>7338</v>
      </c>
      <c r="B141" s="149" t="s">
        <v>131</v>
      </c>
      <c r="C141" s="61">
        <f>ROUND(VLOOKUP(A141,'Contribution Allocation_Report'!$A$9:$D$311,4,FALSE)*$C$312,0)</f>
        <v>530486</v>
      </c>
      <c r="D141" s="61">
        <f>ROUND(VLOOKUP(A141,'Contribution Allocation_Report'!$A$9:$D$311,4,FALSE)*$D$312,0)</f>
        <v>662065</v>
      </c>
      <c r="E141" s="61">
        <f>ROUND(VLOOKUP(A141,'Contribution Allocation_Report'!$A$9:$D$311,4,FALSE)*$E$312,0)</f>
        <v>774204</v>
      </c>
      <c r="J141" s="166">
        <v>7338</v>
      </c>
      <c r="K141" s="205">
        <f t="shared" si="2"/>
        <v>0</v>
      </c>
    </row>
    <row r="142" spans="1:11">
      <c r="A142" s="147">
        <v>12037</v>
      </c>
      <c r="B142" s="148" t="s">
        <v>132</v>
      </c>
      <c r="C142" s="60">
        <f>ROUND(VLOOKUP(A142,'Contribution Allocation_Report'!$A$9:$D$311,4,FALSE)*$C$312,0)</f>
        <v>3641639</v>
      </c>
      <c r="D142" s="60">
        <f>ROUND(VLOOKUP(A142,'Contribution Allocation_Report'!$A$9:$D$311,4,FALSE)*$D$312,0)</f>
        <v>4544889</v>
      </c>
      <c r="E142" s="60">
        <f>ROUND(VLOOKUP(A142,'Contribution Allocation_Report'!$A$9:$D$311,4,FALSE)*$E$312,0)</f>
        <v>5314694</v>
      </c>
      <c r="J142" s="164">
        <v>12037</v>
      </c>
      <c r="K142" s="205">
        <f t="shared" si="2"/>
        <v>0</v>
      </c>
    </row>
    <row r="143" spans="1:11">
      <c r="A143" s="143">
        <v>3150</v>
      </c>
      <c r="B143" s="149" t="s">
        <v>133</v>
      </c>
      <c r="C143" s="61">
        <f>ROUND(VLOOKUP(A143,'Contribution Allocation_Report'!$A$9:$D$311,4,FALSE)*$C$312,0)</f>
        <v>7803919</v>
      </c>
      <c r="D143" s="61">
        <f>ROUND(VLOOKUP(A143,'Contribution Allocation_Report'!$A$9:$D$311,4,FALSE)*$D$312,0)</f>
        <v>9739555</v>
      </c>
      <c r="E143" s="61">
        <f>ROUND(VLOOKUP(A143,'Contribution Allocation_Report'!$A$9:$D$311,4,FALSE)*$E$312,0)</f>
        <v>11389223</v>
      </c>
      <c r="J143" s="166">
        <v>3150</v>
      </c>
      <c r="K143" s="205">
        <f t="shared" si="2"/>
        <v>0</v>
      </c>
    </row>
    <row r="144" spans="1:11">
      <c r="A144" s="147">
        <v>3160</v>
      </c>
      <c r="B144" s="148" t="s">
        <v>134</v>
      </c>
      <c r="C144" s="60">
        <f>ROUND(VLOOKUP(A144,'Contribution Allocation_Report'!$A$9:$D$311,4,FALSE)*$C$312,0)</f>
        <v>1826098</v>
      </c>
      <c r="D144" s="60">
        <f>ROUND(VLOOKUP(A144,'Contribution Allocation_Report'!$A$9:$D$311,4,FALSE)*$D$312,0)</f>
        <v>2279032</v>
      </c>
      <c r="E144" s="60">
        <f>ROUND(VLOOKUP(A144,'Contribution Allocation_Report'!$A$9:$D$311,4,FALSE)*$E$312,0)</f>
        <v>2665050</v>
      </c>
      <c r="J144" s="164">
        <v>3160</v>
      </c>
      <c r="K144" s="205">
        <f t="shared" si="2"/>
        <v>0</v>
      </c>
    </row>
    <row r="145" spans="1:11">
      <c r="A145" s="143">
        <v>10120</v>
      </c>
      <c r="B145" s="149" t="s">
        <v>136</v>
      </c>
      <c r="C145" s="61">
        <f>ROUND(VLOOKUP(A145,'Contribution Allocation_Report'!$A$9:$D$311,4,FALSE)*$C$312,0)</f>
        <v>902292</v>
      </c>
      <c r="D145" s="61">
        <f>ROUND(VLOOKUP(A145,'Contribution Allocation_Report'!$A$9:$D$311,4,FALSE)*$D$312,0)</f>
        <v>1126090</v>
      </c>
      <c r="E145" s="61">
        <f>ROUND(VLOOKUP(A145,'Contribution Allocation_Report'!$A$9:$D$311,4,FALSE)*$E$312,0)</f>
        <v>1316826</v>
      </c>
      <c r="J145" s="166">
        <v>10120</v>
      </c>
      <c r="K145" s="205">
        <f t="shared" si="2"/>
        <v>0</v>
      </c>
    </row>
    <row r="146" spans="1:11">
      <c r="A146" s="147">
        <v>23070</v>
      </c>
      <c r="B146" s="148" t="s">
        <v>137</v>
      </c>
      <c r="C146" s="60">
        <f>ROUND(VLOOKUP(A146,'Contribution Allocation_Report'!$A$9:$D$311,4,FALSE)*$C$312,0)</f>
        <v>1456207</v>
      </c>
      <c r="D146" s="60">
        <f>ROUND(VLOOKUP(A146,'Contribution Allocation_Report'!$A$9:$D$311,4,FALSE)*$D$312,0)</f>
        <v>1817396</v>
      </c>
      <c r="E146" s="60">
        <f>ROUND(VLOOKUP(A146,'Contribution Allocation_Report'!$A$9:$D$311,4,FALSE)*$E$312,0)</f>
        <v>2125223</v>
      </c>
      <c r="J146" s="164">
        <v>23070</v>
      </c>
      <c r="K146" s="205">
        <f t="shared" si="2"/>
        <v>0</v>
      </c>
    </row>
    <row r="147" spans="1:11">
      <c r="A147" s="143">
        <v>3170</v>
      </c>
      <c r="B147" s="149" t="s">
        <v>138</v>
      </c>
      <c r="C147" s="61">
        <f>ROUND(VLOOKUP(A147,'Contribution Allocation_Report'!$A$9:$D$311,4,FALSE)*$C$312,0)</f>
        <v>17003585</v>
      </c>
      <c r="D147" s="61">
        <f>ROUND(VLOOKUP(A147,'Contribution Allocation_Report'!$A$9:$D$311,4,FALSE)*$D$312,0)</f>
        <v>21221049</v>
      </c>
      <c r="E147" s="61">
        <f>ROUND(VLOOKUP(A147,'Contribution Allocation_Report'!$A$9:$D$311,4,FALSE)*$E$312,0)</f>
        <v>24815432</v>
      </c>
      <c r="J147" s="166">
        <v>3170</v>
      </c>
      <c r="K147" s="205">
        <f t="shared" si="2"/>
        <v>0</v>
      </c>
    </row>
    <row r="148" spans="1:11">
      <c r="A148" s="147">
        <v>32093</v>
      </c>
      <c r="B148" s="148" t="s">
        <v>139</v>
      </c>
      <c r="C148" s="60">
        <f>ROUND(VLOOKUP(A148,'Contribution Allocation_Report'!$A$9:$D$311,4,FALSE)*$C$312,0)</f>
        <v>11128142</v>
      </c>
      <c r="D148" s="60">
        <f>ROUND(VLOOKUP(A148,'Contribution Allocation_Report'!$A$9:$D$311,4,FALSE)*$D$312,0)</f>
        <v>13888297</v>
      </c>
      <c r="E148" s="60">
        <f>ROUND(VLOOKUP(A148,'Contribution Allocation_Report'!$A$9:$D$311,4,FALSE)*$E$312,0)</f>
        <v>16240672</v>
      </c>
      <c r="J148" s="164">
        <v>32093</v>
      </c>
      <c r="K148" s="205">
        <f t="shared" si="2"/>
        <v>0</v>
      </c>
    </row>
    <row r="149" spans="1:11">
      <c r="A149" s="143">
        <v>14045</v>
      </c>
      <c r="B149" s="144" t="s">
        <v>140</v>
      </c>
      <c r="C149" s="78">
        <f>ROUND(VLOOKUP(A149,'Contribution Allocation_Report'!$A$9:$D$311,4,FALSE)*$C$312,0)</f>
        <v>19346987</v>
      </c>
      <c r="D149" s="78">
        <f>ROUND(VLOOKUP(A149,'Contribution Allocation_Report'!$A$9:$D$311,4,FALSE)*$D$312,0)</f>
        <v>24145694</v>
      </c>
      <c r="E149" s="78">
        <f>ROUND(VLOOKUP(A149,'Contribution Allocation_Report'!$A$9:$D$311,4,FALSE)*$E$312,0)</f>
        <v>28235448</v>
      </c>
      <c r="J149" s="166">
        <v>14045</v>
      </c>
      <c r="K149" s="205">
        <f t="shared" si="2"/>
        <v>0</v>
      </c>
    </row>
    <row r="150" spans="1:11">
      <c r="A150" s="147">
        <v>2322</v>
      </c>
      <c r="B150" s="148" t="s">
        <v>141</v>
      </c>
      <c r="C150" s="60">
        <f>ROUND(VLOOKUP(A150,'Contribution Allocation_Report'!$A$9:$D$311,4,FALSE)*$C$312,0)</f>
        <v>517559</v>
      </c>
      <c r="D150" s="60">
        <f>ROUND(VLOOKUP(A150,'Contribution Allocation_Report'!$A$9:$D$311,4,FALSE)*$D$312,0)</f>
        <v>645931</v>
      </c>
      <c r="E150" s="60">
        <f>ROUND(VLOOKUP(A150,'Contribution Allocation_Report'!$A$9:$D$311,4,FALSE)*$E$312,0)</f>
        <v>755338</v>
      </c>
      <c r="J150" s="164">
        <v>2322</v>
      </c>
      <c r="K150" s="205">
        <f t="shared" si="2"/>
        <v>0</v>
      </c>
    </row>
    <row r="151" spans="1:11">
      <c r="A151" s="143">
        <v>3006</v>
      </c>
      <c r="B151" s="149" t="s">
        <v>142</v>
      </c>
      <c r="C151" s="61">
        <f>ROUND(VLOOKUP(A151,'Contribution Allocation_Report'!$A$9:$D$311,4,FALSE)*$C$312,0)</f>
        <v>1572333</v>
      </c>
      <c r="D151" s="61">
        <f>ROUND(VLOOKUP(A151,'Contribution Allocation_Report'!$A$9:$D$311,4,FALSE)*$D$312,0)</f>
        <v>1962324</v>
      </c>
      <c r="E151" s="61">
        <f>ROUND(VLOOKUP(A151,'Contribution Allocation_Report'!$A$9:$D$311,4,FALSE)*$E$312,0)</f>
        <v>2294699</v>
      </c>
      <c r="J151" s="166">
        <v>3006</v>
      </c>
      <c r="K151" s="205">
        <f t="shared" si="2"/>
        <v>0</v>
      </c>
    </row>
    <row r="152" spans="1:11">
      <c r="A152" s="147">
        <v>6019</v>
      </c>
      <c r="B152" s="148" t="s">
        <v>143</v>
      </c>
      <c r="C152" s="60">
        <f>ROUND(VLOOKUP(A152,'Contribution Allocation_Report'!$A$9:$D$311,4,FALSE)*$C$312,0)</f>
        <v>8130999</v>
      </c>
      <c r="D152" s="60">
        <f>ROUND(VLOOKUP(A152,'Contribution Allocation_Report'!$A$9:$D$311,4,FALSE)*$D$312,0)</f>
        <v>10147762</v>
      </c>
      <c r="E152" s="60">
        <f>ROUND(VLOOKUP(A152,'Contribution Allocation_Report'!$A$9:$D$311,4,FALSE)*$E$312,0)</f>
        <v>11866571</v>
      </c>
      <c r="J152" s="164">
        <v>6019</v>
      </c>
      <c r="K152" s="205">
        <f t="shared" si="2"/>
        <v>0</v>
      </c>
    </row>
    <row r="153" spans="1:11">
      <c r="A153" s="143">
        <v>12128</v>
      </c>
      <c r="B153" s="149" t="s">
        <v>144</v>
      </c>
      <c r="C153" s="61">
        <f>ROUND(VLOOKUP(A153,'Contribution Allocation_Report'!$A$9:$D$311,4,FALSE)*$C$312,0)</f>
        <v>1870331</v>
      </c>
      <c r="D153" s="61">
        <f>ROUND(VLOOKUP(A153,'Contribution Allocation_Report'!$A$9:$D$311,4,FALSE)*$D$312,0)</f>
        <v>2334236</v>
      </c>
      <c r="E153" s="61">
        <f>ROUND(VLOOKUP(A153,'Contribution Allocation_Report'!$A$9:$D$311,4,FALSE)*$E$312,0)</f>
        <v>2729605</v>
      </c>
      <c r="J153" s="166">
        <v>12128</v>
      </c>
      <c r="K153" s="205">
        <f t="shared" si="2"/>
        <v>0</v>
      </c>
    </row>
    <row r="154" spans="1:11">
      <c r="A154" s="147">
        <v>3180</v>
      </c>
      <c r="B154" s="148" t="s">
        <v>145</v>
      </c>
      <c r="C154" s="60">
        <f>ROUND(VLOOKUP(A154,'Contribution Allocation_Report'!$A$9:$D$311,4,FALSE)*$C$312,0)</f>
        <v>3431396</v>
      </c>
      <c r="D154" s="60">
        <f>ROUND(VLOOKUP(A154,'Contribution Allocation_Report'!$A$9:$D$311,4,FALSE)*$D$312,0)</f>
        <v>4282498</v>
      </c>
      <c r="E154" s="60">
        <f>ROUND(VLOOKUP(A154,'Contribution Allocation_Report'!$A$9:$D$311,4,FALSE)*$E$312,0)</f>
        <v>5007860</v>
      </c>
      <c r="J154" s="164">
        <v>3180</v>
      </c>
      <c r="K154" s="205">
        <f t="shared" si="2"/>
        <v>0</v>
      </c>
    </row>
    <row r="155" spans="1:11">
      <c r="A155" s="143">
        <v>25075</v>
      </c>
      <c r="B155" s="149" t="s">
        <v>146</v>
      </c>
      <c r="C155" s="61">
        <f>ROUND(VLOOKUP(A155,'Contribution Allocation_Report'!$A$9:$D$311,4,FALSE)*$C$312,0)</f>
        <v>1480639</v>
      </c>
      <c r="D155" s="61">
        <f>ROUND(VLOOKUP(A155,'Contribution Allocation_Report'!$A$9:$D$311,4,FALSE)*$D$312,0)</f>
        <v>1847888</v>
      </c>
      <c r="E155" s="61">
        <f>ROUND(VLOOKUP(A155,'Contribution Allocation_Report'!$A$9:$D$311,4,FALSE)*$E$312,0)</f>
        <v>2160880</v>
      </c>
      <c r="J155" s="166">
        <v>25075</v>
      </c>
      <c r="K155" s="205">
        <f t="shared" si="2"/>
        <v>0</v>
      </c>
    </row>
    <row r="156" spans="1:11">
      <c r="A156" s="147">
        <v>2311</v>
      </c>
      <c r="B156" s="148" t="s">
        <v>440</v>
      </c>
      <c r="C156" s="60">
        <f>ROUND(VLOOKUP(A156,'Contribution Allocation_Report'!$A$9:$D$311,4,FALSE)*$C$312,0)</f>
        <v>558966</v>
      </c>
      <c r="D156" s="60">
        <f>ROUND(VLOOKUP(A156,'Contribution Allocation_Report'!$A$9:$D$311,4,FALSE)*$D$312,0)</f>
        <v>697609</v>
      </c>
      <c r="E156" s="60">
        <f>ROUND(VLOOKUP(A156,'Contribution Allocation_Report'!$A$9:$D$311,4,FALSE)*$E$312,0)</f>
        <v>815768</v>
      </c>
      <c r="J156" s="164">
        <v>2311</v>
      </c>
      <c r="K156" s="205">
        <f t="shared" si="2"/>
        <v>0</v>
      </c>
    </row>
    <row r="157" spans="1:11">
      <c r="A157" s="143">
        <v>9028</v>
      </c>
      <c r="B157" s="149" t="s">
        <v>147</v>
      </c>
      <c r="C157" s="61">
        <f>ROUND(VLOOKUP(A157,'Contribution Allocation_Report'!$A$9:$D$311,4,FALSE)*$C$312,0)</f>
        <v>509920</v>
      </c>
      <c r="D157" s="61">
        <f>ROUND(VLOOKUP(A157,'Contribution Allocation_Report'!$A$9:$D$311,4,FALSE)*$D$312,0)</f>
        <v>636397</v>
      </c>
      <c r="E157" s="61">
        <f>ROUND(VLOOKUP(A157,'Contribution Allocation_Report'!$A$9:$D$311,4,FALSE)*$E$312,0)</f>
        <v>744189</v>
      </c>
      <c r="J157" s="166">
        <v>9028</v>
      </c>
      <c r="K157" s="205">
        <f t="shared" si="2"/>
        <v>0</v>
      </c>
    </row>
    <row r="158" spans="1:11">
      <c r="A158" s="147">
        <v>17424</v>
      </c>
      <c r="B158" s="148" t="s">
        <v>148</v>
      </c>
      <c r="C158" s="60">
        <f>ROUND(VLOOKUP(A158,'Contribution Allocation_Report'!$A$9:$D$311,4,FALSE)*$C$312,0)</f>
        <v>941857</v>
      </c>
      <c r="D158" s="60">
        <f>ROUND(VLOOKUP(A158,'Contribution Allocation_Report'!$A$9:$D$311,4,FALSE)*$D$312,0)</f>
        <v>1175469</v>
      </c>
      <c r="E158" s="60">
        <f>ROUND(VLOOKUP(A158,'Contribution Allocation_Report'!$A$9:$D$311,4,FALSE)*$E$312,0)</f>
        <v>1374568</v>
      </c>
      <c r="J158" s="164">
        <v>17424</v>
      </c>
      <c r="K158" s="205">
        <f t="shared" si="2"/>
        <v>0</v>
      </c>
    </row>
    <row r="159" spans="1:11">
      <c r="A159" s="143">
        <v>3200</v>
      </c>
      <c r="B159" s="149" t="s">
        <v>149</v>
      </c>
      <c r="C159" s="61">
        <f>ROUND(VLOOKUP(A159,'Contribution Allocation_Report'!$A$9:$D$311,4,FALSE)*$C$312,0)</f>
        <v>3767738</v>
      </c>
      <c r="D159" s="61">
        <f>ROUND(VLOOKUP(A159,'Contribution Allocation_Report'!$A$9:$D$311,4,FALSE)*$D$312,0)</f>
        <v>4702264</v>
      </c>
      <c r="E159" s="61">
        <f>ROUND(VLOOKUP(A159,'Contribution Allocation_Report'!$A$9:$D$311,4,FALSE)*$E$312,0)</f>
        <v>5498726</v>
      </c>
      <c r="J159" s="166">
        <v>3200</v>
      </c>
      <c r="K159" s="205">
        <f t="shared" si="2"/>
        <v>0</v>
      </c>
    </row>
    <row r="160" spans="1:11">
      <c r="A160" s="147">
        <v>2365</v>
      </c>
      <c r="B160" s="148" t="s">
        <v>150</v>
      </c>
      <c r="C160" s="60">
        <f>ROUND(VLOOKUP(A160,'Contribution Allocation_Report'!$A$9:$D$311,4,FALSE)*$C$312,0)</f>
        <v>537014</v>
      </c>
      <c r="D160" s="60">
        <f>ROUND(VLOOKUP(A160,'Contribution Allocation_Report'!$A$9:$D$311,4,FALSE)*$D$312,0)</f>
        <v>670211</v>
      </c>
      <c r="E160" s="60">
        <f>ROUND(VLOOKUP(A160,'Contribution Allocation_Report'!$A$9:$D$311,4,FALSE)*$E$312,0)</f>
        <v>783730</v>
      </c>
      <c r="J160" s="164">
        <v>2365</v>
      </c>
      <c r="K160" s="205">
        <f t="shared" si="2"/>
        <v>0</v>
      </c>
    </row>
    <row r="161" spans="1:11">
      <c r="A161" s="143">
        <v>5014</v>
      </c>
      <c r="B161" s="149" t="s">
        <v>151</v>
      </c>
      <c r="C161" s="61">
        <f>ROUND(VLOOKUP(A161,'Contribution Allocation_Report'!$A$9:$D$311,4,FALSE)*$C$312,0)</f>
        <v>752982</v>
      </c>
      <c r="D161" s="61">
        <f>ROUND(VLOOKUP(A161,'Contribution Allocation_Report'!$A$9:$D$311,4,FALSE)*$D$312,0)</f>
        <v>939747</v>
      </c>
      <c r="E161" s="61">
        <f>ROUND(VLOOKUP(A161,'Contribution Allocation_Report'!$A$9:$D$311,4,FALSE)*$E$312,0)</f>
        <v>1098920</v>
      </c>
      <c r="J161" s="166">
        <v>5014</v>
      </c>
      <c r="K161" s="205">
        <f t="shared" si="2"/>
        <v>0</v>
      </c>
    </row>
    <row r="162" spans="1:11">
      <c r="A162" s="147">
        <v>17127</v>
      </c>
      <c r="B162" s="148" t="s">
        <v>152</v>
      </c>
      <c r="C162" s="60">
        <f>ROUND(VLOOKUP(A162,'Contribution Allocation_Report'!$A$9:$D$311,4,FALSE)*$C$312,0)</f>
        <v>788208</v>
      </c>
      <c r="D162" s="60">
        <f>ROUND(VLOOKUP(A162,'Contribution Allocation_Report'!$A$9:$D$311,4,FALSE)*$D$312,0)</f>
        <v>983711</v>
      </c>
      <c r="E162" s="60">
        <f>ROUND(VLOOKUP(A162,'Contribution Allocation_Report'!$A$9:$D$311,4,FALSE)*$E$312,0)</f>
        <v>1150330</v>
      </c>
      <c r="J162" s="164">
        <v>17127</v>
      </c>
      <c r="K162" s="205">
        <f t="shared" si="2"/>
        <v>0</v>
      </c>
    </row>
    <row r="163" spans="1:11">
      <c r="A163" s="143">
        <v>10141</v>
      </c>
      <c r="B163" s="149" t="s">
        <v>153</v>
      </c>
      <c r="C163" s="61">
        <f>ROUND(VLOOKUP(A163,'Contribution Allocation_Report'!$A$9:$D$311,4,FALSE)*$C$312,0)</f>
        <v>1459070</v>
      </c>
      <c r="D163" s="61">
        <f>ROUND(VLOOKUP(A163,'Contribution Allocation_Report'!$A$9:$D$311,4,FALSE)*$D$312,0)</f>
        <v>1820968</v>
      </c>
      <c r="E163" s="61">
        <f>ROUND(VLOOKUP(A163,'Contribution Allocation_Report'!$A$9:$D$311,4,FALSE)*$E$312,0)</f>
        <v>2129401</v>
      </c>
      <c r="J163" s="166">
        <v>10141</v>
      </c>
      <c r="K163" s="205">
        <f t="shared" si="2"/>
        <v>0</v>
      </c>
    </row>
    <row r="164" spans="1:11">
      <c r="A164" s="147">
        <v>4570</v>
      </c>
      <c r="B164" s="148" t="s">
        <v>412</v>
      </c>
      <c r="C164" s="60">
        <f>ROUND(VLOOKUP(A164,'Contribution Allocation_Report'!$A$9:$D$311,4,FALSE)*$C$312,0)</f>
        <v>2854725</v>
      </c>
      <c r="D164" s="60">
        <f>ROUND(VLOOKUP(A164,'Contribution Allocation_Report'!$A$9:$D$311,4,FALSE)*$D$312,0)</f>
        <v>3562794</v>
      </c>
      <c r="E164" s="60">
        <f>ROUND(VLOOKUP(A164,'Contribution Allocation_Report'!$A$9:$D$311,4,FALSE)*$E$312,0)</f>
        <v>4166254</v>
      </c>
      <c r="J164" s="166">
        <v>4570</v>
      </c>
      <c r="K164" s="205">
        <f t="shared" si="2"/>
        <v>0</v>
      </c>
    </row>
    <row r="165" spans="1:11">
      <c r="A165" s="143">
        <v>13369</v>
      </c>
      <c r="B165" s="149" t="s">
        <v>154</v>
      </c>
      <c r="C165" s="61">
        <f>ROUND(VLOOKUP(A165,'Contribution Allocation_Report'!$A$9:$D$311,4,FALSE)*$C$312,0)</f>
        <v>267094</v>
      </c>
      <c r="D165" s="61">
        <f>ROUND(VLOOKUP(A165,'Contribution Allocation_Report'!$A$9:$D$311,4,FALSE)*$D$312,0)</f>
        <v>333342</v>
      </c>
      <c r="E165" s="61">
        <f>ROUND(VLOOKUP(A165,'Contribution Allocation_Report'!$A$9:$D$311,4,FALSE)*$E$312,0)</f>
        <v>389803</v>
      </c>
      <c r="J165" s="164">
        <v>13369</v>
      </c>
      <c r="K165" s="205">
        <f t="shared" si="2"/>
        <v>0</v>
      </c>
    </row>
    <row r="166" spans="1:11">
      <c r="A166" s="147">
        <v>2425</v>
      </c>
      <c r="B166" s="148" t="s">
        <v>155</v>
      </c>
      <c r="C166" s="60">
        <f>ROUND(VLOOKUP(A166,'Contribution Allocation_Report'!$A$9:$D$311,4,FALSE)*$C$312,0)</f>
        <v>4675974</v>
      </c>
      <c r="D166" s="60">
        <f>ROUND(VLOOKUP(A166,'Contribution Allocation_Report'!$A$9:$D$311,4,FALSE)*$D$312,0)</f>
        <v>5835773</v>
      </c>
      <c r="E166" s="60">
        <f>ROUND(VLOOKUP(A166,'Contribution Allocation_Report'!$A$9:$D$311,4,FALSE)*$E$312,0)</f>
        <v>6824226</v>
      </c>
      <c r="J166" s="164">
        <v>2425</v>
      </c>
      <c r="K166" s="205">
        <f t="shared" si="2"/>
        <v>0</v>
      </c>
    </row>
    <row r="167" spans="1:11">
      <c r="A167" s="143">
        <v>1306</v>
      </c>
      <c r="B167" s="149" t="s">
        <v>156</v>
      </c>
      <c r="C167" s="61">
        <f>ROUND(VLOOKUP(A167,'Contribution Allocation_Report'!$A$9:$D$311,4,FALSE)*$C$312,0)</f>
        <v>955404</v>
      </c>
      <c r="D167" s="61">
        <f>ROUND(VLOOKUP(A167,'Contribution Allocation_Report'!$A$9:$D$311,4,FALSE)*$D$312,0)</f>
        <v>1192377</v>
      </c>
      <c r="E167" s="61">
        <f>ROUND(VLOOKUP(A167,'Contribution Allocation_Report'!$A$9:$D$311,4,FALSE)*$E$312,0)</f>
        <v>1394339</v>
      </c>
      <c r="J167" s="166">
        <v>1306</v>
      </c>
      <c r="K167" s="205">
        <f t="shared" si="2"/>
        <v>0</v>
      </c>
    </row>
    <row r="168" spans="1:11">
      <c r="A168" s="147">
        <v>2351</v>
      </c>
      <c r="B168" s="148" t="s">
        <v>157</v>
      </c>
      <c r="C168" s="60">
        <f>ROUND(VLOOKUP(A168,'Contribution Allocation_Report'!$A$9:$D$311,4,FALSE)*$C$312,0)</f>
        <v>784945</v>
      </c>
      <c r="D168" s="60">
        <f>ROUND(VLOOKUP(A168,'Contribution Allocation_Report'!$A$9:$D$311,4,FALSE)*$D$312,0)</f>
        <v>979637</v>
      </c>
      <c r="E168" s="60">
        <f>ROUND(VLOOKUP(A168,'Contribution Allocation_Report'!$A$9:$D$311,4,FALSE)*$E$312,0)</f>
        <v>1145567</v>
      </c>
      <c r="J168" s="164">
        <v>2351</v>
      </c>
      <c r="K168" s="205">
        <f t="shared" si="2"/>
        <v>0</v>
      </c>
    </row>
    <row r="169" spans="1:11">
      <c r="A169" s="143">
        <v>2334</v>
      </c>
      <c r="B169" s="149" t="s">
        <v>158</v>
      </c>
      <c r="C169" s="61">
        <f>ROUND(VLOOKUP(A169,'Contribution Allocation_Report'!$A$9:$D$311,4,FALSE)*$C$312,0)</f>
        <v>568374</v>
      </c>
      <c r="D169" s="61">
        <f>ROUND(VLOOKUP(A169,'Contribution Allocation_Report'!$A$9:$D$311,4,FALSE)*$D$312,0)</f>
        <v>709350</v>
      </c>
      <c r="E169" s="61">
        <f>ROUND(VLOOKUP(A169,'Contribution Allocation_Report'!$A$9:$D$311,4,FALSE)*$E$312,0)</f>
        <v>829499</v>
      </c>
      <c r="J169" s="166">
        <v>2334</v>
      </c>
      <c r="K169" s="205">
        <f t="shared" si="2"/>
        <v>0</v>
      </c>
    </row>
    <row r="170" spans="1:11">
      <c r="A170" s="147">
        <v>30089</v>
      </c>
      <c r="B170" s="148" t="s">
        <v>159</v>
      </c>
      <c r="C170" s="60">
        <f>ROUND(VLOOKUP(A170,'Contribution Allocation_Report'!$A$9:$D$311,4,FALSE)*$C$312,0)</f>
        <v>1643897</v>
      </c>
      <c r="D170" s="60">
        <f>ROUND(VLOOKUP(A170,'Contribution Allocation_Report'!$A$9:$D$311,4,FALSE)*$D$312,0)</f>
        <v>2051639</v>
      </c>
      <c r="E170" s="60">
        <f>ROUND(VLOOKUP(A170,'Contribution Allocation_Report'!$A$9:$D$311,4,FALSE)*$E$312,0)</f>
        <v>2399142</v>
      </c>
      <c r="J170" s="164">
        <v>30089</v>
      </c>
      <c r="K170" s="205">
        <f t="shared" si="2"/>
        <v>0</v>
      </c>
    </row>
    <row r="171" spans="1:11">
      <c r="A171" s="143">
        <v>9324</v>
      </c>
      <c r="B171" s="149" t="s">
        <v>160</v>
      </c>
      <c r="C171" s="61">
        <f>ROUND(VLOOKUP(A171,'Contribution Allocation_Report'!$A$9:$D$311,4,FALSE)*$C$312,0)</f>
        <v>197225</v>
      </c>
      <c r="D171" s="61">
        <f>ROUND(VLOOKUP(A171,'Contribution Allocation_Report'!$A$9:$D$311,4,FALSE)*$D$312,0)</f>
        <v>246144</v>
      </c>
      <c r="E171" s="61">
        <f>ROUND(VLOOKUP(A171,'Contribution Allocation_Report'!$A$9:$D$311,4,FALSE)*$E$312,0)</f>
        <v>287835</v>
      </c>
      <c r="J171" s="166">
        <v>9324</v>
      </c>
      <c r="K171" s="205">
        <f t="shared" si="2"/>
        <v>0</v>
      </c>
    </row>
    <row r="172" spans="1:11">
      <c r="A172" s="147">
        <v>22066</v>
      </c>
      <c r="B172" s="148" t="s">
        <v>161</v>
      </c>
      <c r="C172" s="60">
        <f>ROUND(VLOOKUP(A172,'Contribution Allocation_Report'!$A$9:$D$311,4,FALSE)*$C$312,0)</f>
        <v>5760175</v>
      </c>
      <c r="D172" s="60">
        <f>ROUND(VLOOKUP(A172,'Contribution Allocation_Report'!$A$9:$D$311,4,FALSE)*$D$312,0)</f>
        <v>7188893</v>
      </c>
      <c r="E172" s="60">
        <f>ROUND(VLOOKUP(A172,'Contribution Allocation_Report'!$A$9:$D$311,4,FALSE)*$E$312,0)</f>
        <v>8406535</v>
      </c>
      <c r="J172" s="164">
        <v>22066</v>
      </c>
      <c r="K172" s="205">
        <f t="shared" si="2"/>
        <v>0</v>
      </c>
    </row>
    <row r="173" spans="1:11">
      <c r="A173" s="143">
        <v>16356</v>
      </c>
      <c r="B173" s="149" t="s">
        <v>162</v>
      </c>
      <c r="C173" s="61">
        <f>ROUND(VLOOKUP(A173,'Contribution Allocation_Report'!$A$9:$D$311,4,FALSE)*$C$312,0)</f>
        <v>355943</v>
      </c>
      <c r="D173" s="61">
        <f>ROUND(VLOOKUP(A173,'Contribution Allocation_Report'!$A$9:$D$311,4,FALSE)*$D$312,0)</f>
        <v>444229</v>
      </c>
      <c r="E173" s="61">
        <f>ROUND(VLOOKUP(A173,'Contribution Allocation_Report'!$A$9:$D$311,4,FALSE)*$E$312,0)</f>
        <v>519471</v>
      </c>
      <c r="J173" s="166">
        <v>16356</v>
      </c>
      <c r="K173" s="205">
        <f t="shared" si="2"/>
        <v>0</v>
      </c>
    </row>
    <row r="174" spans="1:11">
      <c r="A174" s="147">
        <v>31091</v>
      </c>
      <c r="B174" s="148" t="s">
        <v>163</v>
      </c>
      <c r="C174" s="60">
        <f>ROUND(VLOOKUP(A174,'Contribution Allocation_Report'!$A$9:$D$311,4,FALSE)*$C$312,0)</f>
        <v>334446</v>
      </c>
      <c r="D174" s="60">
        <f>ROUND(VLOOKUP(A174,'Contribution Allocation_Report'!$A$9:$D$311,4,FALSE)*$D$312,0)</f>
        <v>417400</v>
      </c>
      <c r="E174" s="60">
        <f>ROUND(VLOOKUP(A174,'Contribution Allocation_Report'!$A$9:$D$311,4,FALSE)*$E$312,0)</f>
        <v>488099</v>
      </c>
      <c r="J174" s="164">
        <v>31091</v>
      </c>
      <c r="K174" s="205">
        <f t="shared" si="2"/>
        <v>0</v>
      </c>
    </row>
    <row r="175" spans="1:11">
      <c r="A175" s="143">
        <v>2342</v>
      </c>
      <c r="B175" s="149" t="s">
        <v>164</v>
      </c>
      <c r="C175" s="61">
        <f>ROUND(VLOOKUP(A175,'Contribution Allocation_Report'!$A$9:$D$311,4,FALSE)*$C$312,0)</f>
        <v>594374</v>
      </c>
      <c r="D175" s="61">
        <f>ROUND(VLOOKUP(A175,'Contribution Allocation_Report'!$A$9:$D$311,4,FALSE)*$D$312,0)</f>
        <v>741799</v>
      </c>
      <c r="E175" s="61">
        <f>ROUND(VLOOKUP(A175,'Contribution Allocation_Report'!$A$9:$D$311,4,FALSE)*$E$312,0)</f>
        <v>867444</v>
      </c>
      <c r="J175" s="166">
        <v>2342</v>
      </c>
      <c r="K175" s="205">
        <f t="shared" si="2"/>
        <v>0</v>
      </c>
    </row>
    <row r="176" spans="1:11">
      <c r="A176" s="147">
        <v>22067</v>
      </c>
      <c r="B176" s="148" t="s">
        <v>165</v>
      </c>
      <c r="C176" s="60">
        <f>ROUND(VLOOKUP(A176,'Contribution Allocation_Report'!$A$9:$D$311,4,FALSE)*$C$312,0)</f>
        <v>858715</v>
      </c>
      <c r="D176" s="60">
        <f>ROUND(VLOOKUP(A176,'Contribution Allocation_Report'!$A$9:$D$311,4,FALSE)*$D$312,0)</f>
        <v>1071705</v>
      </c>
      <c r="E176" s="60">
        <f>ROUND(VLOOKUP(A176,'Contribution Allocation_Report'!$A$9:$D$311,4,FALSE)*$E$312,0)</f>
        <v>1253229</v>
      </c>
      <c r="J176" s="164">
        <v>22067</v>
      </c>
      <c r="K176" s="205">
        <f t="shared" si="2"/>
        <v>0</v>
      </c>
    </row>
    <row r="177" spans="1:11">
      <c r="A177" s="143">
        <v>32112</v>
      </c>
      <c r="B177" s="149" t="s">
        <v>166</v>
      </c>
      <c r="C177" s="61">
        <f>ROUND(VLOOKUP(A177,'Contribution Allocation_Report'!$A$9:$D$311,4,FALSE)*$C$312,0)</f>
        <v>452996</v>
      </c>
      <c r="D177" s="61">
        <f>ROUND(VLOOKUP(A177,'Contribution Allocation_Report'!$A$9:$D$311,4,FALSE)*$D$312,0)</f>
        <v>565355</v>
      </c>
      <c r="E177" s="61">
        <f>ROUND(VLOOKUP(A177,'Contribution Allocation_Report'!$A$9:$D$311,4,FALSE)*$E$312,0)</f>
        <v>661114</v>
      </c>
      <c r="J177" s="166">
        <v>32112</v>
      </c>
      <c r="K177" s="205">
        <f t="shared" si="2"/>
        <v>0</v>
      </c>
    </row>
    <row r="178" spans="1:11">
      <c r="A178" s="147">
        <v>2354</v>
      </c>
      <c r="B178" s="148" t="s">
        <v>167</v>
      </c>
      <c r="C178" s="60">
        <f>ROUND(VLOOKUP(A178,'Contribution Allocation_Report'!$A$9:$D$311,4,FALSE)*$C$312,0)</f>
        <v>1448713</v>
      </c>
      <c r="D178" s="60">
        <f>ROUND(VLOOKUP(A178,'Contribution Allocation_Report'!$A$9:$D$311,4,FALSE)*$D$312,0)</f>
        <v>1808043</v>
      </c>
      <c r="E178" s="60">
        <f>ROUND(VLOOKUP(A178,'Contribution Allocation_Report'!$A$9:$D$311,4,FALSE)*$E$312,0)</f>
        <v>2114287</v>
      </c>
      <c r="J178" s="164">
        <v>2354</v>
      </c>
      <c r="K178" s="205">
        <f t="shared" si="2"/>
        <v>0</v>
      </c>
    </row>
    <row r="179" spans="1:11">
      <c r="A179" s="143">
        <v>2148</v>
      </c>
      <c r="B179" s="149" t="s">
        <v>168</v>
      </c>
      <c r="C179" s="61">
        <f>ROUND(VLOOKUP(A179,'Contribution Allocation_Report'!$A$9:$D$311,4,FALSE)*$C$312,0)</f>
        <v>434782</v>
      </c>
      <c r="D179" s="61">
        <f>ROUND(VLOOKUP(A179,'Contribution Allocation_Report'!$A$9:$D$311,4,FALSE)*$D$312,0)</f>
        <v>542622</v>
      </c>
      <c r="E179" s="61">
        <f>ROUND(VLOOKUP(A179,'Contribution Allocation_Report'!$A$9:$D$311,4,FALSE)*$E$312,0)</f>
        <v>634531</v>
      </c>
      <c r="J179" s="166">
        <v>2148</v>
      </c>
      <c r="K179" s="205">
        <f t="shared" si="2"/>
        <v>0</v>
      </c>
    </row>
    <row r="180" spans="1:11">
      <c r="A180" s="147">
        <v>1418</v>
      </c>
      <c r="B180" s="148" t="s">
        <v>169</v>
      </c>
      <c r="C180" s="60">
        <f>ROUND(VLOOKUP(A180,'Contribution Allocation_Report'!$A$9:$D$311,4,FALSE)*$C$312,0)</f>
        <v>1816489</v>
      </c>
      <c r="D180" s="60">
        <f>ROUND(VLOOKUP(A180,'Contribution Allocation_Report'!$A$9:$D$311,4,FALSE)*$D$312,0)</f>
        <v>2267040</v>
      </c>
      <c r="E180" s="60">
        <f>ROUND(VLOOKUP(A180,'Contribution Allocation_Report'!$A$9:$D$311,4,FALSE)*$E$312,0)</f>
        <v>2651027</v>
      </c>
      <c r="J180" s="164">
        <v>1418</v>
      </c>
      <c r="K180" s="205">
        <f t="shared" si="2"/>
        <v>0</v>
      </c>
    </row>
    <row r="181" spans="1:11">
      <c r="A181" s="143">
        <v>12102</v>
      </c>
      <c r="B181" s="149" t="s">
        <v>170</v>
      </c>
      <c r="C181" s="61">
        <f>ROUND(VLOOKUP(A181,'Contribution Allocation_Report'!$A$9:$D$311,4,FALSE)*$C$312,0)</f>
        <v>10192083</v>
      </c>
      <c r="D181" s="61">
        <f>ROUND(VLOOKUP(A181,'Contribution Allocation_Report'!$A$9:$D$311,4,FALSE)*$D$312,0)</f>
        <v>12720064</v>
      </c>
      <c r="E181" s="61">
        <f>ROUND(VLOOKUP(A181,'Contribution Allocation_Report'!$A$9:$D$311,4,FALSE)*$E$312,0)</f>
        <v>14874566</v>
      </c>
      <c r="J181" s="166">
        <v>12102</v>
      </c>
      <c r="K181" s="205">
        <f t="shared" si="2"/>
        <v>0</v>
      </c>
    </row>
    <row r="182" spans="1:11">
      <c r="A182" s="147">
        <v>2414</v>
      </c>
      <c r="B182" s="148" t="s">
        <v>171</v>
      </c>
      <c r="C182" s="60">
        <f>ROUND(VLOOKUP(A182,'Contribution Allocation_Report'!$A$9:$D$311,4,FALSE)*$C$312,0)</f>
        <v>861851</v>
      </c>
      <c r="D182" s="60">
        <f>ROUND(VLOOKUP(A182,'Contribution Allocation_Report'!$A$9:$D$311,4,FALSE)*$D$312,0)</f>
        <v>1075619</v>
      </c>
      <c r="E182" s="60">
        <f>ROUND(VLOOKUP(A182,'Contribution Allocation_Report'!$A$9:$D$311,4,FALSE)*$E$312,0)</f>
        <v>1257806</v>
      </c>
      <c r="J182" s="164">
        <v>2414</v>
      </c>
      <c r="K182" s="205">
        <f t="shared" si="2"/>
        <v>0</v>
      </c>
    </row>
    <row r="183" spans="1:11">
      <c r="A183" s="143">
        <v>6124</v>
      </c>
      <c r="B183" s="149" t="s">
        <v>172</v>
      </c>
      <c r="C183" s="61">
        <f>ROUND(VLOOKUP(A183,'Contribution Allocation_Report'!$A$9:$D$311,4,FALSE)*$C$312,0)</f>
        <v>4510091</v>
      </c>
      <c r="D183" s="61">
        <f>ROUND(VLOOKUP(A183,'Contribution Allocation_Report'!$A$9:$D$311,4,FALSE)*$D$312,0)</f>
        <v>5628746</v>
      </c>
      <c r="E183" s="61">
        <f>ROUND(VLOOKUP(A183,'Contribution Allocation_Report'!$A$9:$D$311,4,FALSE)*$E$312,0)</f>
        <v>6582132</v>
      </c>
      <c r="J183" s="166">
        <v>6124</v>
      </c>
      <c r="K183" s="205">
        <f t="shared" si="2"/>
        <v>0</v>
      </c>
    </row>
    <row r="184" spans="1:11">
      <c r="A184" s="147">
        <v>4097</v>
      </c>
      <c r="B184" s="148" t="s">
        <v>173</v>
      </c>
      <c r="C184" s="60">
        <f>ROUND(VLOOKUP(A184,'Contribution Allocation_Report'!$A$9:$D$311,4,FALSE)*$C$312,0)</f>
        <v>5426185</v>
      </c>
      <c r="D184" s="60">
        <f>ROUND(VLOOKUP(A184,'Contribution Allocation_Report'!$A$9:$D$311,4,FALSE)*$D$312,0)</f>
        <v>6772062</v>
      </c>
      <c r="E184" s="60">
        <f>ROUND(VLOOKUP(A184,'Contribution Allocation_Report'!$A$9:$D$311,4,FALSE)*$E$312,0)</f>
        <v>7919101</v>
      </c>
      <c r="J184" s="164">
        <v>4097</v>
      </c>
      <c r="K184" s="205">
        <f t="shared" si="2"/>
        <v>0</v>
      </c>
    </row>
    <row r="185" spans="1:11">
      <c r="A185" s="143">
        <v>1416</v>
      </c>
      <c r="B185" s="149" t="s">
        <v>174</v>
      </c>
      <c r="C185" s="61">
        <f>ROUND(VLOOKUP(A185,'Contribution Allocation_Report'!$A$9:$D$311,4,FALSE)*$C$312,0)</f>
        <v>704957</v>
      </c>
      <c r="D185" s="61">
        <f>ROUND(VLOOKUP(A185,'Contribution Allocation_Report'!$A$9:$D$311,4,FALSE)*$D$312,0)</f>
        <v>879810</v>
      </c>
      <c r="E185" s="61">
        <f>ROUND(VLOOKUP(A185,'Contribution Allocation_Report'!$A$9:$D$311,4,FALSE)*$E$312,0)</f>
        <v>1028831</v>
      </c>
      <c r="J185" s="166">
        <v>1416</v>
      </c>
      <c r="K185" s="205">
        <f t="shared" si="2"/>
        <v>0</v>
      </c>
    </row>
    <row r="186" spans="1:11">
      <c r="A186" s="147">
        <v>1094</v>
      </c>
      <c r="B186" s="148" t="s">
        <v>175</v>
      </c>
      <c r="C186" s="60">
        <f>ROUND(VLOOKUP(A186,'Contribution Allocation_Report'!$A$9:$D$311,4,FALSE)*$C$312,0)</f>
        <v>3815071</v>
      </c>
      <c r="D186" s="60">
        <f>ROUND(VLOOKUP(A186,'Contribution Allocation_Report'!$A$9:$D$311,4,FALSE)*$D$312,0)</f>
        <v>4761337</v>
      </c>
      <c r="E186" s="60">
        <f>ROUND(VLOOKUP(A186,'Contribution Allocation_Report'!$A$9:$D$311,4,FALSE)*$E$312,0)</f>
        <v>5567804</v>
      </c>
      <c r="J186" s="164">
        <v>1094</v>
      </c>
      <c r="K186" s="205">
        <f t="shared" si="2"/>
        <v>0</v>
      </c>
    </row>
    <row r="187" spans="1:11">
      <c r="A187" s="143">
        <v>32111</v>
      </c>
      <c r="B187" s="149" t="s">
        <v>176</v>
      </c>
      <c r="C187" s="61">
        <f>ROUND(VLOOKUP(A187,'Contribution Allocation_Report'!$A$9:$D$311,4,FALSE)*$C$312,0)</f>
        <v>3826776</v>
      </c>
      <c r="D187" s="61">
        <f>ROUND(VLOOKUP(A187,'Contribution Allocation_Report'!$A$9:$D$311,4,FALSE)*$D$312,0)</f>
        <v>4775946</v>
      </c>
      <c r="E187" s="61">
        <f>ROUND(VLOOKUP(A187,'Contribution Allocation_Report'!$A$9:$D$311,4,FALSE)*$E$312,0)</f>
        <v>5584887</v>
      </c>
      <c r="J187" s="166">
        <v>32111</v>
      </c>
      <c r="K187" s="205">
        <f t="shared" si="2"/>
        <v>0</v>
      </c>
    </row>
    <row r="188" spans="1:11">
      <c r="A188" s="147">
        <v>2520</v>
      </c>
      <c r="B188" s="148" t="s">
        <v>177</v>
      </c>
      <c r="C188" s="60">
        <f>ROUND(VLOOKUP(A188,'Contribution Allocation_Report'!$A$9:$D$311,4,FALSE)*$C$312,0)</f>
        <v>576160</v>
      </c>
      <c r="D188" s="60">
        <f>ROUND(VLOOKUP(A188,'Contribution Allocation_Report'!$A$9:$D$311,4,FALSE)*$D$312,0)</f>
        <v>719067</v>
      </c>
      <c r="E188" s="60">
        <f>ROUND(VLOOKUP(A188,'Contribution Allocation_Report'!$A$9:$D$311,4,FALSE)*$E$312,0)</f>
        <v>840861</v>
      </c>
      <c r="J188" s="164">
        <v>2520</v>
      </c>
      <c r="K188" s="205">
        <f t="shared" si="2"/>
        <v>0</v>
      </c>
    </row>
    <row r="189" spans="1:11">
      <c r="A189" s="143">
        <v>3450</v>
      </c>
      <c r="B189" s="149" t="s">
        <v>178</v>
      </c>
      <c r="C189" s="61">
        <f>ROUND(VLOOKUP(A189,'Contribution Allocation_Report'!$A$9:$D$311,4,FALSE)*$C$312,0)</f>
        <v>1031216</v>
      </c>
      <c r="D189" s="61">
        <f>ROUND(VLOOKUP(A189,'Contribution Allocation_Report'!$A$9:$D$311,4,FALSE)*$D$312,0)</f>
        <v>1286993</v>
      </c>
      <c r="E189" s="61">
        <f>ROUND(VLOOKUP(A189,'Contribution Allocation_Report'!$A$9:$D$311,4,FALSE)*$E$312,0)</f>
        <v>1504982</v>
      </c>
      <c r="J189" s="166">
        <v>3450</v>
      </c>
      <c r="K189" s="205">
        <f t="shared" si="2"/>
        <v>0</v>
      </c>
    </row>
    <row r="190" spans="1:11">
      <c r="A190" s="147">
        <v>4310</v>
      </c>
      <c r="B190" s="148" t="s">
        <v>179</v>
      </c>
      <c r="C190" s="60">
        <f>ROUND(VLOOKUP(A190,'Contribution Allocation_Report'!$A$9:$D$311,4,FALSE)*$C$312,0)</f>
        <v>543359</v>
      </c>
      <c r="D190" s="60">
        <f>ROUND(VLOOKUP(A190,'Contribution Allocation_Report'!$A$9:$D$311,4,FALSE)*$D$312,0)</f>
        <v>678130</v>
      </c>
      <c r="E190" s="60">
        <f>ROUND(VLOOKUP(A190,'Contribution Allocation_Report'!$A$9:$D$311,4,FALSE)*$E$312,0)</f>
        <v>792990</v>
      </c>
      <c r="J190" s="164">
        <v>4310</v>
      </c>
      <c r="K190" s="205">
        <f t="shared" si="2"/>
        <v>0</v>
      </c>
    </row>
    <row r="191" spans="1:11">
      <c r="A191" s="143">
        <v>2328</v>
      </c>
      <c r="B191" s="149" t="s">
        <v>180</v>
      </c>
      <c r="C191" s="61">
        <f>ROUND(VLOOKUP(A191,'Contribution Allocation_Report'!$A$9:$D$311,4,FALSE)*$C$312,0)</f>
        <v>1021188</v>
      </c>
      <c r="D191" s="61">
        <f>ROUND(VLOOKUP(A191,'Contribution Allocation_Report'!$A$9:$D$311,4,FALSE)*$D$312,0)</f>
        <v>1274478</v>
      </c>
      <c r="E191" s="61">
        <f>ROUND(VLOOKUP(A191,'Contribution Allocation_Report'!$A$9:$D$311,4,FALSE)*$E$312,0)</f>
        <v>1490346</v>
      </c>
      <c r="J191" s="166">
        <v>2328</v>
      </c>
      <c r="K191" s="205">
        <f t="shared" si="2"/>
        <v>0</v>
      </c>
    </row>
    <row r="192" spans="1:11">
      <c r="A192" s="147">
        <v>12151</v>
      </c>
      <c r="B192" s="148" t="s">
        <v>181</v>
      </c>
      <c r="C192" s="60">
        <f>ROUND(VLOOKUP(A192,'Contribution Allocation_Report'!$A$9:$D$311,4,FALSE)*$C$312,0)</f>
        <v>300442</v>
      </c>
      <c r="D192" s="60">
        <f>ROUND(VLOOKUP(A192,'Contribution Allocation_Report'!$A$9:$D$311,4,FALSE)*$D$312,0)</f>
        <v>374961</v>
      </c>
      <c r="E192" s="60">
        <f>ROUND(VLOOKUP(A192,'Contribution Allocation_Report'!$A$9:$D$311,4,FALSE)*$E$312,0)</f>
        <v>438472</v>
      </c>
      <c r="J192" s="164">
        <v>12151</v>
      </c>
      <c r="K192" s="205">
        <f t="shared" si="2"/>
        <v>0</v>
      </c>
    </row>
    <row r="193" spans="1:11">
      <c r="A193" s="143">
        <v>32110</v>
      </c>
      <c r="B193" s="149" t="s">
        <v>182</v>
      </c>
      <c r="C193" s="61">
        <f>ROUND(VLOOKUP(A193,'Contribution Allocation_Report'!$A$9:$D$311,4,FALSE)*$C$312,0)</f>
        <v>3604627</v>
      </c>
      <c r="D193" s="61">
        <f>ROUND(VLOOKUP(A193,'Contribution Allocation_Report'!$A$9:$D$311,4,FALSE)*$D$312,0)</f>
        <v>4498696</v>
      </c>
      <c r="E193" s="61">
        <f>ROUND(VLOOKUP(A193,'Contribution Allocation_Report'!$A$9:$D$311,4,FALSE)*$E$312,0)</f>
        <v>5260677</v>
      </c>
      <c r="J193" s="166">
        <v>32110</v>
      </c>
      <c r="K193" s="205">
        <f t="shared" si="2"/>
        <v>0</v>
      </c>
    </row>
    <row r="194" spans="1:11">
      <c r="A194" s="147">
        <v>2870</v>
      </c>
      <c r="B194" s="148" t="s">
        <v>184</v>
      </c>
      <c r="C194" s="60">
        <f>ROUND(VLOOKUP(A194,'Contribution Allocation_Report'!$A$9:$D$311,4,FALSE)*$C$312,0)</f>
        <v>630603</v>
      </c>
      <c r="D194" s="60">
        <f>ROUND(VLOOKUP(A194,'Contribution Allocation_Report'!$A$9:$D$311,4,FALSE)*$D$312,0)</f>
        <v>787014</v>
      </c>
      <c r="E194" s="60">
        <f>ROUND(VLOOKUP(A194,'Contribution Allocation_Report'!$A$9:$D$311,4,FALSE)*$E$312,0)</f>
        <v>920317</v>
      </c>
      <c r="J194" s="164">
        <v>2870</v>
      </c>
      <c r="K194" s="205">
        <f t="shared" si="2"/>
        <v>0</v>
      </c>
    </row>
    <row r="195" spans="1:11">
      <c r="A195" s="143">
        <v>29150</v>
      </c>
      <c r="B195" s="149" t="s">
        <v>185</v>
      </c>
      <c r="C195" s="61">
        <f>ROUND(VLOOKUP(A195,'Contribution Allocation_Report'!$A$9:$D$311,4,FALSE)*$C$312,0)</f>
        <v>159137</v>
      </c>
      <c r="D195" s="61">
        <f>ROUND(VLOOKUP(A195,'Contribution Allocation_Report'!$A$9:$D$311,4,FALSE)*$D$312,0)</f>
        <v>198608</v>
      </c>
      <c r="E195" s="61">
        <f>ROUND(VLOOKUP(A195,'Contribution Allocation_Report'!$A$9:$D$311,4,FALSE)*$E$312,0)</f>
        <v>232248</v>
      </c>
      <c r="J195" s="166">
        <v>29150</v>
      </c>
      <c r="K195" s="205">
        <f t="shared" si="2"/>
        <v>0</v>
      </c>
    </row>
    <row r="196" spans="1:11">
      <c r="A196" s="147">
        <v>32118</v>
      </c>
      <c r="B196" s="148" t="s">
        <v>187</v>
      </c>
      <c r="C196" s="60">
        <f>ROUND(VLOOKUP(A196,'Contribution Allocation_Report'!$A$9:$D$311,4,FALSE)*$C$312,0)</f>
        <v>1911483</v>
      </c>
      <c r="D196" s="60">
        <f>ROUND(VLOOKUP(A196,'Contribution Allocation_Report'!$A$9:$D$311,4,FALSE)*$D$312,0)</f>
        <v>2385595</v>
      </c>
      <c r="E196" s="60">
        <f>ROUND(VLOOKUP(A196,'Contribution Allocation_Report'!$A$9:$D$311,4,FALSE)*$E$312,0)</f>
        <v>2789663</v>
      </c>
      <c r="J196" s="164">
        <v>32118</v>
      </c>
      <c r="K196" s="205">
        <f t="shared" si="2"/>
        <v>0</v>
      </c>
    </row>
    <row r="197" spans="1:11">
      <c r="A197" s="143">
        <v>12039</v>
      </c>
      <c r="B197" s="149" t="s">
        <v>188</v>
      </c>
      <c r="C197" s="61">
        <f>ROUND(VLOOKUP(A197,'Contribution Allocation_Report'!$A$9:$D$311,4,FALSE)*$C$312,0)</f>
        <v>1610166</v>
      </c>
      <c r="D197" s="61">
        <f>ROUND(VLOOKUP(A197,'Contribution Allocation_Report'!$A$9:$D$311,4,FALSE)*$D$312,0)</f>
        <v>2009541</v>
      </c>
      <c r="E197" s="61">
        <f>ROUND(VLOOKUP(A197,'Contribution Allocation_Report'!$A$9:$D$311,4,FALSE)*$E$312,0)</f>
        <v>2349914</v>
      </c>
      <c r="J197" s="166">
        <v>12039</v>
      </c>
      <c r="K197" s="205">
        <f t="shared" si="2"/>
        <v>0</v>
      </c>
    </row>
    <row r="198" spans="1:11">
      <c r="A198" s="147">
        <v>12150</v>
      </c>
      <c r="B198" s="148" t="s">
        <v>189</v>
      </c>
      <c r="C198" s="60">
        <f>ROUND(VLOOKUP(A198,'Contribution Allocation_Report'!$A$9:$D$311,4,FALSE)*$C$312,0)</f>
        <v>301025</v>
      </c>
      <c r="D198" s="60">
        <f>ROUND(VLOOKUP(A198,'Contribution Allocation_Report'!$A$9:$D$311,4,FALSE)*$D$312,0)</f>
        <v>375690</v>
      </c>
      <c r="E198" s="60">
        <f>ROUND(VLOOKUP(A198,'Contribution Allocation_Report'!$A$9:$D$311,4,FALSE)*$E$312,0)</f>
        <v>439323</v>
      </c>
      <c r="J198" s="164">
        <v>12150</v>
      </c>
      <c r="K198" s="205">
        <f t="shared" si="2"/>
        <v>0</v>
      </c>
    </row>
    <row r="199" spans="1:11">
      <c r="A199" s="143">
        <v>20060</v>
      </c>
      <c r="B199" s="149" t="s">
        <v>190</v>
      </c>
      <c r="C199" s="61">
        <f>ROUND(VLOOKUP(A199,'Contribution Allocation_Report'!$A$9:$D$311,4,FALSE)*$C$312,0)</f>
        <v>1228259</v>
      </c>
      <c r="D199" s="61">
        <f>ROUND(VLOOKUP(A199,'Contribution Allocation_Report'!$A$9:$D$311,4,FALSE)*$D$312,0)</f>
        <v>1532909</v>
      </c>
      <c r="E199" s="61">
        <f>ROUND(VLOOKUP(A199,'Contribution Allocation_Report'!$A$9:$D$311,4,FALSE)*$E$312,0)</f>
        <v>1792551</v>
      </c>
      <c r="J199" s="166">
        <v>20060</v>
      </c>
      <c r="K199" s="205">
        <f t="shared" si="2"/>
        <v>0</v>
      </c>
    </row>
    <row r="200" spans="1:11">
      <c r="A200" s="147">
        <v>1001</v>
      </c>
      <c r="B200" s="148" t="s">
        <v>191</v>
      </c>
      <c r="C200" s="60">
        <f>ROUND(VLOOKUP(A200,'Contribution Allocation_Report'!$A$9:$D$311,4,FALSE)*$C$312,0)</f>
        <v>3588436</v>
      </c>
      <c r="D200" s="60">
        <f>ROUND(VLOOKUP(A200,'Contribution Allocation_Report'!$A$9:$D$311,4,FALSE)*$D$312,0)</f>
        <v>4478489</v>
      </c>
      <c r="E200" s="60">
        <f>ROUND(VLOOKUP(A200,'Contribution Allocation_Report'!$A$9:$D$311,4,FALSE)*$E$312,0)</f>
        <v>5237047</v>
      </c>
      <c r="J200" s="164">
        <v>1001</v>
      </c>
      <c r="K200" s="205">
        <f t="shared" si="2"/>
        <v>0</v>
      </c>
    </row>
    <row r="201" spans="1:11">
      <c r="A201" s="143">
        <v>11035</v>
      </c>
      <c r="B201" s="149" t="s">
        <v>192</v>
      </c>
      <c r="C201" s="61">
        <f>ROUND(VLOOKUP(A201,'Contribution Allocation_Report'!$A$9:$D$311,4,FALSE)*$C$312,0)</f>
        <v>7231351</v>
      </c>
      <c r="D201" s="61">
        <f>ROUND(VLOOKUP(A201,'Contribution Allocation_Report'!$A$9:$D$311,4,FALSE)*$D$312,0)</f>
        <v>9024971</v>
      </c>
      <c r="E201" s="61">
        <f>ROUND(VLOOKUP(A201,'Contribution Allocation_Report'!$A$9:$D$311,4,FALSE)*$E$312,0)</f>
        <v>10553604</v>
      </c>
      <c r="J201" s="166">
        <v>11035</v>
      </c>
      <c r="K201" s="205">
        <f t="shared" ref="K201:K264" si="3">+A201-J201</f>
        <v>0</v>
      </c>
    </row>
    <row r="202" spans="1:11">
      <c r="A202" s="147">
        <v>2320</v>
      </c>
      <c r="B202" s="148" t="s">
        <v>193</v>
      </c>
      <c r="C202" s="60">
        <f>ROUND(VLOOKUP(A202,'Contribution Allocation_Report'!$A$9:$D$311,4,FALSE)*$C$312,0)</f>
        <v>840026</v>
      </c>
      <c r="D202" s="60">
        <f>ROUND(VLOOKUP(A202,'Contribution Allocation_Report'!$A$9:$D$311,4,FALSE)*$D$312,0)</f>
        <v>1048381</v>
      </c>
      <c r="E202" s="60">
        <f>ROUND(VLOOKUP(A202,'Contribution Allocation_Report'!$A$9:$D$311,4,FALSE)*$E$312,0)</f>
        <v>1225954</v>
      </c>
      <c r="J202" s="164">
        <v>2320</v>
      </c>
      <c r="K202" s="205">
        <f t="shared" si="3"/>
        <v>0</v>
      </c>
    </row>
    <row r="203" spans="1:11">
      <c r="A203" s="143">
        <v>28084</v>
      </c>
      <c r="B203" s="149" t="s">
        <v>194</v>
      </c>
      <c r="C203" s="61">
        <f>ROUND(VLOOKUP(A203,'Contribution Allocation_Report'!$A$9:$D$311,4,FALSE)*$C$312,0)</f>
        <v>719616</v>
      </c>
      <c r="D203" s="61">
        <f>ROUND(VLOOKUP(A203,'Contribution Allocation_Report'!$A$9:$D$311,4,FALSE)*$D$312,0)</f>
        <v>898105</v>
      </c>
      <c r="E203" s="61">
        <f>ROUND(VLOOKUP(A203,'Contribution Allocation_Report'!$A$9:$D$311,4,FALSE)*$E$312,0)</f>
        <v>1050225</v>
      </c>
      <c r="J203" s="166">
        <v>28084</v>
      </c>
      <c r="K203" s="205">
        <f t="shared" si="3"/>
        <v>0</v>
      </c>
    </row>
    <row r="204" spans="1:11">
      <c r="A204" s="147">
        <v>20125</v>
      </c>
      <c r="B204" s="148" t="s">
        <v>195</v>
      </c>
      <c r="C204" s="60">
        <f>ROUND(VLOOKUP(A204,'Contribution Allocation_Report'!$A$9:$D$311,4,FALSE)*$C$312,0)</f>
        <v>897460</v>
      </c>
      <c r="D204" s="60">
        <f>ROUND(VLOOKUP(A204,'Contribution Allocation_Report'!$A$9:$D$311,4,FALSE)*$D$312,0)</f>
        <v>1120060</v>
      </c>
      <c r="E204" s="60">
        <f>ROUND(VLOOKUP(A204,'Contribution Allocation_Report'!$A$9:$D$311,4,FALSE)*$E$312,0)</f>
        <v>1309774</v>
      </c>
      <c r="J204" s="164">
        <v>20125</v>
      </c>
      <c r="K204" s="205">
        <f t="shared" si="3"/>
        <v>0</v>
      </c>
    </row>
    <row r="205" spans="1:11">
      <c r="A205" s="143">
        <v>7445</v>
      </c>
      <c r="B205" s="149" t="s">
        <v>428</v>
      </c>
      <c r="C205" s="61">
        <f>ROUND(VLOOKUP(A205,'Contribution Allocation_Report'!$A$9:$D$311,4,FALSE)*$C$312,0)</f>
        <v>241732</v>
      </c>
      <c r="D205" s="61">
        <f>ROUND(VLOOKUP(A205,'Contribution Allocation_Report'!$A$9:$D$311,4,FALSE)*$D$312,0)</f>
        <v>301689</v>
      </c>
      <c r="E205" s="61">
        <f>ROUND(VLOOKUP(A205,'Contribution Allocation_Report'!$A$9:$D$311,4,FALSE)*$E$312,0)</f>
        <v>352789</v>
      </c>
      <c r="J205" s="166">
        <v>7445</v>
      </c>
      <c r="K205" s="205">
        <f t="shared" si="3"/>
        <v>0</v>
      </c>
    </row>
    <row r="206" spans="1:11">
      <c r="A206" s="147">
        <v>9029</v>
      </c>
      <c r="B206" s="148" t="s">
        <v>197</v>
      </c>
      <c r="C206" s="60">
        <f>ROUND(VLOOKUP(A206,'Contribution Allocation_Report'!$A$9:$D$311,4,FALSE)*$C$312,0)</f>
        <v>2159195</v>
      </c>
      <c r="D206" s="60">
        <f>ROUND(VLOOKUP(A206,'Contribution Allocation_Report'!$A$9:$D$311,4,FALSE)*$D$312,0)</f>
        <v>2694748</v>
      </c>
      <c r="E206" s="60">
        <f>ROUND(VLOOKUP(A206,'Contribution Allocation_Report'!$A$9:$D$311,4,FALSE)*$E$312,0)</f>
        <v>3151180</v>
      </c>
      <c r="J206" s="164">
        <v>9029</v>
      </c>
      <c r="K206" s="205">
        <f t="shared" si="3"/>
        <v>0</v>
      </c>
    </row>
    <row r="207" spans="1:11">
      <c r="A207" s="143">
        <v>2580</v>
      </c>
      <c r="B207" s="149" t="s">
        <v>198</v>
      </c>
      <c r="C207" s="61">
        <f>ROUND(VLOOKUP(A207,'Contribution Allocation_Report'!$A$9:$D$311,4,FALSE)*$C$312,0)</f>
        <v>283029</v>
      </c>
      <c r="D207" s="61">
        <f>ROUND(VLOOKUP(A207,'Contribution Allocation_Report'!$A$9:$D$311,4,FALSE)*$D$312,0)</f>
        <v>353230</v>
      </c>
      <c r="E207" s="61">
        <f>ROUND(VLOOKUP(A207,'Contribution Allocation_Report'!$A$9:$D$311,4,FALSE)*$E$312,0)</f>
        <v>413060</v>
      </c>
      <c r="J207" s="166">
        <v>2580</v>
      </c>
      <c r="K207" s="205">
        <f t="shared" si="3"/>
        <v>0</v>
      </c>
    </row>
    <row r="208" spans="1:11">
      <c r="A208" s="147">
        <v>20312</v>
      </c>
      <c r="B208" s="148" t="s">
        <v>199</v>
      </c>
      <c r="C208" s="60">
        <f>ROUND(VLOOKUP(A208,'Contribution Allocation_Report'!$A$9:$D$311,4,FALSE)*$C$312,0)</f>
        <v>240857</v>
      </c>
      <c r="D208" s="60">
        <f>ROUND(VLOOKUP(A208,'Contribution Allocation_Report'!$A$9:$D$311,4,FALSE)*$D$312,0)</f>
        <v>300597</v>
      </c>
      <c r="E208" s="60">
        <f>ROUND(VLOOKUP(A208,'Contribution Allocation_Report'!$A$9:$D$311,4,FALSE)*$E$312,0)</f>
        <v>351512</v>
      </c>
      <c r="J208" s="164">
        <v>20312</v>
      </c>
      <c r="K208" s="205">
        <f t="shared" si="3"/>
        <v>0</v>
      </c>
    </row>
    <row r="209" spans="1:11">
      <c r="A209" s="143">
        <v>26150</v>
      </c>
      <c r="B209" s="149" t="s">
        <v>200</v>
      </c>
      <c r="C209" s="61">
        <f>ROUND(VLOOKUP(A209,'Contribution Allocation_Report'!$A$9:$D$311,4,FALSE)*$C$312,0)</f>
        <v>1657608</v>
      </c>
      <c r="D209" s="61">
        <f>ROUND(VLOOKUP(A209,'Contribution Allocation_Report'!$A$9:$D$311,4,FALSE)*$D$312,0)</f>
        <v>2068751</v>
      </c>
      <c r="E209" s="61">
        <f>ROUND(VLOOKUP(A209,'Contribution Allocation_Report'!$A$9:$D$311,4,FALSE)*$E$312,0)</f>
        <v>2419152</v>
      </c>
      <c r="J209" s="166">
        <v>26150</v>
      </c>
      <c r="K209" s="205">
        <f t="shared" si="3"/>
        <v>0</v>
      </c>
    </row>
    <row r="210" spans="1:11">
      <c r="A210" s="147">
        <v>5016</v>
      </c>
      <c r="B210" s="148" t="s">
        <v>201</v>
      </c>
      <c r="C210" s="60">
        <f>ROUND(VLOOKUP(A210,'Contribution Allocation_Report'!$A$9:$D$311,4,FALSE)*$C$312,0)</f>
        <v>181837</v>
      </c>
      <c r="D210" s="60">
        <f>ROUND(VLOOKUP(A210,'Contribution Allocation_Report'!$A$9:$D$311,4,FALSE)*$D$312,0)</f>
        <v>226938</v>
      </c>
      <c r="E210" s="60">
        <f>ROUND(VLOOKUP(A210,'Contribution Allocation_Report'!$A$9:$D$311,4,FALSE)*$E$312,0)</f>
        <v>265377</v>
      </c>
      <c r="J210" s="164">
        <v>5016</v>
      </c>
      <c r="K210" s="205">
        <f t="shared" si="3"/>
        <v>0</v>
      </c>
    </row>
    <row r="211" spans="1:11">
      <c r="A211" s="143">
        <v>6150</v>
      </c>
      <c r="B211" s="149" t="s">
        <v>202</v>
      </c>
      <c r="C211" s="61">
        <f>ROUND(VLOOKUP(A211,'Contribution Allocation_Report'!$A$9:$D$311,4,FALSE)*$C$312,0)</f>
        <v>170386</v>
      </c>
      <c r="D211" s="61">
        <f>ROUND(VLOOKUP(A211,'Contribution Allocation_Report'!$A$9:$D$311,4,FALSE)*$D$312,0)</f>
        <v>212648</v>
      </c>
      <c r="E211" s="61">
        <f>ROUND(VLOOKUP(A211,'Contribution Allocation_Report'!$A$9:$D$311,4,FALSE)*$E$312,0)</f>
        <v>248666</v>
      </c>
      <c r="J211" s="166">
        <v>6150</v>
      </c>
      <c r="K211" s="205">
        <f t="shared" si="3"/>
        <v>0</v>
      </c>
    </row>
    <row r="212" spans="1:11">
      <c r="A212" s="147">
        <v>4480</v>
      </c>
      <c r="B212" s="148" t="s">
        <v>203</v>
      </c>
      <c r="C212" s="60">
        <f>ROUND(VLOOKUP(A212,'Contribution Allocation_Report'!$A$9:$D$311,4,FALSE)*$C$312,0)</f>
        <v>275390</v>
      </c>
      <c r="D212" s="60">
        <f>ROUND(VLOOKUP(A212,'Contribution Allocation_Report'!$A$9:$D$311,4,FALSE)*$D$312,0)</f>
        <v>343696</v>
      </c>
      <c r="E212" s="60">
        <f>ROUND(VLOOKUP(A212,'Contribution Allocation_Report'!$A$9:$D$311,4,FALSE)*$E$312,0)</f>
        <v>401910</v>
      </c>
      <c r="J212" s="164">
        <v>4480</v>
      </c>
      <c r="K212" s="205">
        <f t="shared" si="3"/>
        <v>0</v>
      </c>
    </row>
    <row r="213" spans="1:11">
      <c r="A213" s="143">
        <v>28085</v>
      </c>
      <c r="B213" s="149" t="s">
        <v>204</v>
      </c>
      <c r="C213" s="61">
        <f>ROUND(VLOOKUP(A213,'Contribution Allocation_Report'!$A$9:$D$311,4,FALSE)*$C$312,0)</f>
        <v>576524</v>
      </c>
      <c r="D213" s="61">
        <f>ROUND(VLOOKUP(A213,'Contribution Allocation_Report'!$A$9:$D$311,4,FALSE)*$D$312,0)</f>
        <v>719522</v>
      </c>
      <c r="E213" s="61">
        <f>ROUND(VLOOKUP(A213,'Contribution Allocation_Report'!$A$9:$D$311,4,FALSE)*$E$312,0)</f>
        <v>841393</v>
      </c>
      <c r="J213" s="166">
        <v>28085</v>
      </c>
      <c r="K213" s="205">
        <f t="shared" si="3"/>
        <v>0</v>
      </c>
    </row>
    <row r="214" spans="1:11">
      <c r="A214" s="147">
        <v>3240</v>
      </c>
      <c r="B214" s="148" t="s">
        <v>205</v>
      </c>
      <c r="C214" s="60">
        <f>ROUND(VLOOKUP(A214,'Contribution Allocation_Report'!$A$9:$D$311,4,FALSE)*$C$312,0)</f>
        <v>3487298</v>
      </c>
      <c r="D214" s="60">
        <f>ROUND(VLOOKUP(A214,'Contribution Allocation_Report'!$A$9:$D$311,4,FALSE)*$D$312,0)</f>
        <v>4352265</v>
      </c>
      <c r="E214" s="60">
        <f>ROUND(VLOOKUP(A214,'Contribution Allocation_Report'!$A$9:$D$311,4,FALSE)*$E$312,0)</f>
        <v>5089444</v>
      </c>
      <c r="J214" s="164">
        <v>3240</v>
      </c>
      <c r="K214" s="205">
        <f t="shared" si="3"/>
        <v>0</v>
      </c>
    </row>
    <row r="215" spans="1:11">
      <c r="A215" s="143">
        <v>12326</v>
      </c>
      <c r="B215" s="149" t="s">
        <v>206</v>
      </c>
      <c r="C215" s="61">
        <f>ROUND(VLOOKUP(A215,'Contribution Allocation_Report'!$A$9:$D$311,4,FALSE)*$C$312,0)</f>
        <v>215075</v>
      </c>
      <c r="D215" s="61">
        <f>ROUND(VLOOKUP(A215,'Contribution Allocation_Report'!$A$9:$D$311,4,FALSE)*$D$312,0)</f>
        <v>268421</v>
      </c>
      <c r="E215" s="61">
        <f>ROUND(VLOOKUP(A215,'Contribution Allocation_Report'!$A$9:$D$311,4,FALSE)*$E$312,0)</f>
        <v>313886</v>
      </c>
      <c r="J215" s="166">
        <v>12326</v>
      </c>
      <c r="K215" s="205">
        <f t="shared" si="3"/>
        <v>0</v>
      </c>
    </row>
    <row r="216" spans="1:11">
      <c r="A216" s="147">
        <v>2445</v>
      </c>
      <c r="B216" s="148" t="s">
        <v>533</v>
      </c>
      <c r="C216" s="60">
        <f>ROUND(VLOOKUP(A216,'Contribution Allocation_Report'!$A$9:$D$311,4,FALSE)*$C$312,0)</f>
        <v>61263</v>
      </c>
      <c r="D216" s="60">
        <f>ROUND(VLOOKUP(A216,'Contribution Allocation_Report'!$A$9:$D$311,4,FALSE)*$D$312,0)</f>
        <v>76458</v>
      </c>
      <c r="E216" s="60">
        <f>ROUND(VLOOKUP(A216,'Contribution Allocation_Report'!$A$9:$D$311,4,FALSE)*$E$312,0)</f>
        <v>89408</v>
      </c>
      <c r="J216" s="164">
        <v>2445</v>
      </c>
      <c r="K216" s="205">
        <f t="shared" si="3"/>
        <v>0</v>
      </c>
    </row>
    <row r="217" spans="1:11">
      <c r="A217" s="143">
        <v>29123</v>
      </c>
      <c r="B217" s="149" t="s">
        <v>207</v>
      </c>
      <c r="C217" s="61">
        <f>ROUND(VLOOKUP(A217,'Contribution Allocation_Report'!$A$9:$D$311,4,FALSE)*$C$312,0)</f>
        <v>41065911</v>
      </c>
      <c r="D217" s="61">
        <f>ROUND(VLOOKUP(A217,'Contribution Allocation_Report'!$A$9:$D$311,4,FALSE)*$D$312,0)</f>
        <v>51251644</v>
      </c>
      <c r="E217" s="61">
        <f>ROUND(VLOOKUP(A217,'Contribution Allocation_Report'!$A$9:$D$311,4,FALSE)*$E$312,0)</f>
        <v>59932556</v>
      </c>
      <c r="J217" s="166">
        <v>29123</v>
      </c>
      <c r="K217" s="205">
        <f t="shared" si="3"/>
        <v>0</v>
      </c>
    </row>
    <row r="218" spans="1:11">
      <c r="A218" s="143">
        <v>2318</v>
      </c>
      <c r="B218" s="144" t="s">
        <v>208</v>
      </c>
      <c r="C218" s="78">
        <f>ROUND(VLOOKUP(A218,'Contribution Allocation_Report'!$A$9:$D$311,4,FALSE)*$C$312,0)</f>
        <v>964338</v>
      </c>
      <c r="D218" s="78">
        <f>ROUND(VLOOKUP(A218,'Contribution Allocation_Report'!$A$9:$D$311,4,FALSE)*$D$312,0)</f>
        <v>1203527</v>
      </c>
      <c r="E218" s="78">
        <f>ROUND(VLOOKUP(A218,'Contribution Allocation_Report'!$A$9:$D$311,4,FALSE)*$E$312,0)</f>
        <v>1407378</v>
      </c>
      <c r="J218" s="164">
        <v>2318</v>
      </c>
      <c r="K218" s="205">
        <f t="shared" si="3"/>
        <v>0</v>
      </c>
    </row>
    <row r="219" spans="1:11">
      <c r="A219" s="147">
        <v>3250</v>
      </c>
      <c r="B219" s="148" t="s">
        <v>209</v>
      </c>
      <c r="C219" s="60">
        <f>ROUND(VLOOKUP(A219,'Contribution Allocation_Report'!$A$9:$D$311,4,FALSE)*$C$312,0)</f>
        <v>1309177</v>
      </c>
      <c r="D219" s="60">
        <f>ROUND(VLOOKUP(A219,'Contribution Allocation_Report'!$A$9:$D$311,4,FALSE)*$D$312,0)</f>
        <v>1633897</v>
      </c>
      <c r="E219" s="60">
        <f>ROUND(VLOOKUP(A219,'Contribution Allocation_Report'!$A$9:$D$311,4,FALSE)*$E$312,0)</f>
        <v>1910644</v>
      </c>
      <c r="J219" s="166">
        <v>3250</v>
      </c>
      <c r="K219" s="205">
        <f t="shared" si="3"/>
        <v>0</v>
      </c>
    </row>
    <row r="220" spans="1:11">
      <c r="A220" s="143">
        <v>2313</v>
      </c>
      <c r="B220" s="149" t="s">
        <v>210</v>
      </c>
      <c r="C220" s="61">
        <f>ROUND(VLOOKUP(A220,'Contribution Allocation_Report'!$A$9:$D$311,4,FALSE)*$C$312,0)</f>
        <v>161234</v>
      </c>
      <c r="D220" s="61">
        <f>ROUND(VLOOKUP(A220,'Contribution Allocation_Report'!$A$9:$D$311,4,FALSE)*$D$312,0)</f>
        <v>201225</v>
      </c>
      <c r="E220" s="61">
        <f>ROUND(VLOOKUP(A220,'Contribution Allocation_Report'!$A$9:$D$311,4,FALSE)*$E$312,0)</f>
        <v>235308</v>
      </c>
      <c r="J220" s="164">
        <v>2313</v>
      </c>
      <c r="K220" s="205">
        <f t="shared" si="3"/>
        <v>0</v>
      </c>
    </row>
    <row r="221" spans="1:11">
      <c r="A221" s="147">
        <v>4011</v>
      </c>
      <c r="B221" s="148" t="s">
        <v>211</v>
      </c>
      <c r="C221" s="60">
        <f>ROUND(VLOOKUP(A221,'Contribution Allocation_Report'!$A$9:$D$311,4,FALSE)*$C$312,0)</f>
        <v>24174804</v>
      </c>
      <c r="D221" s="60">
        <f>ROUND(VLOOKUP(A221,'Contribution Allocation_Report'!$A$9:$D$311,4,FALSE)*$D$312,0)</f>
        <v>30170973</v>
      </c>
      <c r="E221" s="60">
        <f>ROUND(VLOOKUP(A221,'Contribution Allocation_Report'!$A$9:$D$311,4,FALSE)*$E$312,0)</f>
        <v>35281278</v>
      </c>
      <c r="J221" s="166">
        <v>4011</v>
      </c>
      <c r="K221" s="205">
        <f t="shared" si="3"/>
        <v>0</v>
      </c>
    </row>
    <row r="222" spans="1:11">
      <c r="A222" s="143">
        <v>31092</v>
      </c>
      <c r="B222" s="149" t="s">
        <v>212</v>
      </c>
      <c r="C222" s="61">
        <f>ROUND(VLOOKUP(A222,'Contribution Allocation_Report'!$A$9:$D$311,4,FALSE)*$C$312,0)</f>
        <v>415564</v>
      </c>
      <c r="D222" s="61">
        <f>ROUND(VLOOKUP(A222,'Contribution Allocation_Report'!$A$9:$D$311,4,FALSE)*$D$312,0)</f>
        <v>518638</v>
      </c>
      <c r="E222" s="61">
        <f>ROUND(VLOOKUP(A222,'Contribution Allocation_Report'!$A$9:$D$311,4,FALSE)*$E$312,0)</f>
        <v>606484</v>
      </c>
      <c r="J222" s="164">
        <v>31092</v>
      </c>
      <c r="K222" s="205">
        <f t="shared" si="3"/>
        <v>0</v>
      </c>
    </row>
    <row r="223" spans="1:11">
      <c r="A223" s="147">
        <v>26081</v>
      </c>
      <c r="B223" s="148" t="s">
        <v>213</v>
      </c>
      <c r="C223" s="60">
        <f>ROUND(VLOOKUP(A223,'Contribution Allocation_Report'!$A$9:$D$311,4,FALSE)*$C$312,0)</f>
        <v>3951708</v>
      </c>
      <c r="D223" s="60">
        <f>ROUND(VLOOKUP(A223,'Contribution Allocation_Report'!$A$9:$D$311,4,FALSE)*$D$312,0)</f>
        <v>4931865</v>
      </c>
      <c r="E223" s="60">
        <f>ROUND(VLOOKUP(A223,'Contribution Allocation_Report'!$A$9:$D$311,4,FALSE)*$E$312,0)</f>
        <v>5767216</v>
      </c>
      <c r="J223" s="166">
        <v>26081</v>
      </c>
      <c r="K223" s="205">
        <f t="shared" si="3"/>
        <v>0</v>
      </c>
    </row>
    <row r="224" spans="1:11">
      <c r="A224" s="143">
        <v>29305</v>
      </c>
      <c r="B224" s="149" t="s">
        <v>214</v>
      </c>
      <c r="C224" s="61">
        <f>ROUND(VLOOKUP(A224,'Contribution Allocation_Report'!$A$9:$D$311,4,FALSE)*$C$312,0)</f>
        <v>289210</v>
      </c>
      <c r="D224" s="61">
        <f>ROUND(VLOOKUP(A224,'Contribution Allocation_Report'!$A$9:$D$311,4,FALSE)*$D$312,0)</f>
        <v>360944</v>
      </c>
      <c r="E224" s="61">
        <f>ROUND(VLOOKUP(A224,'Contribution Allocation_Report'!$A$9:$D$311,4,FALSE)*$E$312,0)</f>
        <v>422080</v>
      </c>
      <c r="J224" s="164">
        <v>29305</v>
      </c>
      <c r="K224" s="205">
        <f t="shared" si="3"/>
        <v>0</v>
      </c>
    </row>
    <row r="225" spans="1:11">
      <c r="A225" s="147">
        <v>10032</v>
      </c>
      <c r="B225" s="148" t="s">
        <v>215</v>
      </c>
      <c r="C225" s="60">
        <f>ROUND(VLOOKUP(A225,'Contribution Allocation_Report'!$A$9:$D$311,4,FALSE)*$C$312,0)</f>
        <v>452377</v>
      </c>
      <c r="D225" s="60">
        <f>ROUND(VLOOKUP(A225,'Contribution Allocation_Report'!$A$9:$D$311,4,FALSE)*$D$312,0)</f>
        <v>564581</v>
      </c>
      <c r="E225" s="60">
        <f>ROUND(VLOOKUP(A225,'Contribution Allocation_Report'!$A$9:$D$311,4,FALSE)*$E$312,0)</f>
        <v>660209</v>
      </c>
      <c r="J225" s="166">
        <v>10032</v>
      </c>
      <c r="K225" s="205">
        <f t="shared" si="3"/>
        <v>0</v>
      </c>
    </row>
    <row r="226" spans="1:11">
      <c r="A226" s="143">
        <v>32107</v>
      </c>
      <c r="B226" s="149" t="s">
        <v>216</v>
      </c>
      <c r="C226" s="61">
        <f>ROUND(VLOOKUP(A226,'Contribution Allocation_Report'!$A$9:$D$311,4,FALSE)*$C$312,0)</f>
        <v>554171</v>
      </c>
      <c r="D226" s="61">
        <f>ROUND(VLOOKUP(A226,'Contribution Allocation_Report'!$A$9:$D$311,4,FALSE)*$D$312,0)</f>
        <v>691624</v>
      </c>
      <c r="E226" s="61">
        <f>ROUND(VLOOKUP(A226,'Contribution Allocation_Report'!$A$9:$D$311,4,FALSE)*$E$312,0)</f>
        <v>808770</v>
      </c>
      <c r="J226" s="164">
        <v>32107</v>
      </c>
      <c r="K226" s="205">
        <f t="shared" si="3"/>
        <v>0</v>
      </c>
    </row>
    <row r="227" spans="1:11">
      <c r="A227" s="147">
        <v>3260</v>
      </c>
      <c r="B227" s="148" t="s">
        <v>217</v>
      </c>
      <c r="C227" s="60">
        <f>ROUND(VLOOKUP(A227,'Contribution Allocation_Report'!$A$9:$D$311,4,FALSE)*$C$312,0)</f>
        <v>10430040</v>
      </c>
      <c r="D227" s="60">
        <f>ROUND(VLOOKUP(A227,'Contribution Allocation_Report'!$A$9:$D$311,4,FALSE)*$D$312,0)</f>
        <v>13017043</v>
      </c>
      <c r="E227" s="60">
        <f>ROUND(VLOOKUP(A227,'Contribution Allocation_Report'!$A$9:$D$311,4,FALSE)*$E$312,0)</f>
        <v>15221846</v>
      </c>
      <c r="J227" s="166">
        <v>3260</v>
      </c>
      <c r="K227" s="205">
        <f t="shared" si="3"/>
        <v>0</v>
      </c>
    </row>
    <row r="228" spans="1:11">
      <c r="A228" s="143">
        <v>4390</v>
      </c>
      <c r="B228" s="149" t="s">
        <v>218</v>
      </c>
      <c r="C228" s="61">
        <f>ROUND(VLOOKUP(A228,'Contribution Allocation_Report'!$A$9:$D$311,4,FALSE)*$C$312,0)</f>
        <v>109288</v>
      </c>
      <c r="D228" s="61">
        <f>ROUND(VLOOKUP(A228,'Contribution Allocation_Report'!$A$9:$D$311,4,FALSE)*$D$312,0)</f>
        <v>136395</v>
      </c>
      <c r="E228" s="61">
        <f>ROUND(VLOOKUP(A228,'Contribution Allocation_Report'!$A$9:$D$311,4,FALSE)*$E$312,0)</f>
        <v>159498</v>
      </c>
      <c r="J228" s="164">
        <v>4390</v>
      </c>
      <c r="K228" s="205">
        <f t="shared" si="3"/>
        <v>0</v>
      </c>
    </row>
    <row r="229" spans="1:11">
      <c r="A229" s="147">
        <v>3270</v>
      </c>
      <c r="B229" s="148" t="s">
        <v>219</v>
      </c>
      <c r="C229" s="60">
        <f>ROUND(VLOOKUP(A229,'Contribution Allocation_Report'!$A$9:$D$311,4,FALSE)*$C$312,0)</f>
        <v>1526167</v>
      </c>
      <c r="D229" s="60">
        <f>ROUND(VLOOKUP(A229,'Contribution Allocation_Report'!$A$9:$D$311,4,FALSE)*$D$312,0)</f>
        <v>1904708</v>
      </c>
      <c r="E229" s="60">
        <f>ROUND(VLOOKUP(A229,'Contribution Allocation_Report'!$A$9:$D$311,4,FALSE)*$E$312,0)</f>
        <v>2227324</v>
      </c>
      <c r="J229" s="166">
        <v>3270</v>
      </c>
      <c r="K229" s="205">
        <f t="shared" si="3"/>
        <v>0</v>
      </c>
    </row>
    <row r="230" spans="1:11">
      <c r="A230" s="143">
        <v>29303</v>
      </c>
      <c r="B230" s="149" t="s">
        <v>220</v>
      </c>
      <c r="C230" s="61">
        <f>ROUND(VLOOKUP(A230,'Contribution Allocation_Report'!$A$9:$D$311,4,FALSE)*$C$312,0)</f>
        <v>478869</v>
      </c>
      <c r="D230" s="61">
        <f>ROUND(VLOOKUP(A230,'Contribution Allocation_Report'!$A$9:$D$311,4,FALSE)*$D$312,0)</f>
        <v>597645</v>
      </c>
      <c r="E230" s="61">
        <f>ROUND(VLOOKUP(A230,'Contribution Allocation_Report'!$A$9:$D$311,4,FALSE)*$E$312,0)</f>
        <v>698873</v>
      </c>
      <c r="J230" s="164">
        <v>29303</v>
      </c>
      <c r="K230" s="205">
        <f t="shared" si="3"/>
        <v>0</v>
      </c>
    </row>
    <row r="231" spans="1:11">
      <c r="A231" s="147">
        <v>3280</v>
      </c>
      <c r="B231" s="148" t="s">
        <v>221</v>
      </c>
      <c r="C231" s="60">
        <f>ROUND(VLOOKUP(A231,'Contribution Allocation_Report'!$A$9:$D$311,4,FALSE)*$C$312,0)</f>
        <v>7713484</v>
      </c>
      <c r="D231" s="60">
        <f>ROUND(VLOOKUP(A231,'Contribution Allocation_Report'!$A$9:$D$311,4,FALSE)*$D$312,0)</f>
        <v>9626689</v>
      </c>
      <c r="E231" s="60">
        <f>ROUND(VLOOKUP(A231,'Contribution Allocation_Report'!$A$9:$D$311,4,FALSE)*$E$312,0)</f>
        <v>11257240</v>
      </c>
      <c r="J231" s="166">
        <v>3280</v>
      </c>
      <c r="K231" s="205">
        <f t="shared" si="3"/>
        <v>0</v>
      </c>
    </row>
    <row r="232" spans="1:11">
      <c r="A232" s="143">
        <v>4260</v>
      </c>
      <c r="B232" s="149" t="s">
        <v>222</v>
      </c>
      <c r="C232" s="61">
        <f>ROUND(VLOOKUP(A232,'Contribution Allocation_Report'!$A$9:$D$311,4,FALSE)*$C$312,0)</f>
        <v>657132</v>
      </c>
      <c r="D232" s="61">
        <f>ROUND(VLOOKUP(A232,'Contribution Allocation_Report'!$A$9:$D$311,4,FALSE)*$D$312,0)</f>
        <v>820123</v>
      </c>
      <c r="E232" s="61">
        <f>ROUND(VLOOKUP(A232,'Contribution Allocation_Report'!$A$9:$D$311,4,FALSE)*$E$312,0)</f>
        <v>959034</v>
      </c>
      <c r="J232" s="164">
        <v>4260</v>
      </c>
      <c r="K232" s="205">
        <f t="shared" si="3"/>
        <v>0</v>
      </c>
    </row>
    <row r="233" spans="1:11">
      <c r="A233" s="147">
        <v>1003</v>
      </c>
      <c r="B233" s="148" t="s">
        <v>223</v>
      </c>
      <c r="C233" s="60">
        <f>ROUND(VLOOKUP(A233,'Contribution Allocation_Report'!$A$9:$D$311,4,FALSE)*$C$312,0)</f>
        <v>7844050</v>
      </c>
      <c r="D233" s="60">
        <f>ROUND(VLOOKUP(A233,'Contribution Allocation_Report'!$A$9:$D$311,4,FALSE)*$D$312,0)</f>
        <v>9789639</v>
      </c>
      <c r="E233" s="60">
        <f>ROUND(VLOOKUP(A233,'Contribution Allocation_Report'!$A$9:$D$311,4,FALSE)*$E$312,0)</f>
        <v>11447791</v>
      </c>
      <c r="J233" s="166">
        <v>1003</v>
      </c>
      <c r="K233" s="205">
        <f t="shared" si="3"/>
        <v>0</v>
      </c>
    </row>
    <row r="234" spans="1:11">
      <c r="A234" s="143">
        <v>3290</v>
      </c>
      <c r="B234" s="149" t="s">
        <v>224</v>
      </c>
      <c r="C234" s="61">
        <f>ROUND(VLOOKUP(A234,'Contribution Allocation_Report'!$A$9:$D$311,4,FALSE)*$C$312,0)</f>
        <v>16266484</v>
      </c>
      <c r="D234" s="61">
        <f>ROUND(VLOOKUP(A234,'Contribution Allocation_Report'!$A$9:$D$311,4,FALSE)*$D$312,0)</f>
        <v>20301121</v>
      </c>
      <c r="E234" s="61">
        <f>ROUND(VLOOKUP(A234,'Contribution Allocation_Report'!$A$9:$D$311,4,FALSE)*$E$312,0)</f>
        <v>23739689</v>
      </c>
      <c r="J234" s="164">
        <v>3290</v>
      </c>
      <c r="K234" s="205">
        <f t="shared" si="3"/>
        <v>0</v>
      </c>
    </row>
    <row r="235" spans="1:11">
      <c r="A235" s="147">
        <v>1002</v>
      </c>
      <c r="B235" s="148" t="s">
        <v>225</v>
      </c>
      <c r="C235" s="60">
        <f>ROUND(VLOOKUP(A235,'Contribution Allocation_Report'!$A$9:$D$311,4,FALSE)*$C$312,0)</f>
        <v>31802648</v>
      </c>
      <c r="D235" s="60">
        <f>ROUND(VLOOKUP(A235,'Contribution Allocation_Report'!$A$9:$D$311,4,FALSE)*$D$312,0)</f>
        <v>39690780</v>
      </c>
      <c r="E235" s="60">
        <f>ROUND(VLOOKUP(A235,'Contribution Allocation_Report'!$A$9:$D$311,4,FALSE)*$E$312,0)</f>
        <v>46413533</v>
      </c>
      <c r="J235" s="166">
        <v>1002</v>
      </c>
      <c r="K235" s="205">
        <f t="shared" si="3"/>
        <v>0</v>
      </c>
    </row>
    <row r="236" spans="1:11">
      <c r="A236" s="143">
        <v>4270</v>
      </c>
      <c r="B236" s="149" t="s">
        <v>442</v>
      </c>
      <c r="C236" s="61">
        <f>ROUND(VLOOKUP(A236,'Contribution Allocation_Report'!$A$9:$D$311,4,FALSE)*$C$312,0)</f>
        <v>688602</v>
      </c>
      <c r="D236" s="61">
        <f>ROUND(VLOOKUP(A236,'Contribution Allocation_Report'!$A$9:$D$311,4,FALSE)*$D$312,0)</f>
        <v>859399</v>
      </c>
      <c r="E236" s="61">
        <f>ROUND(VLOOKUP(A236,'Contribution Allocation_Report'!$A$9:$D$311,4,FALSE)*$E$312,0)</f>
        <v>1004962</v>
      </c>
      <c r="J236" s="164">
        <v>4270</v>
      </c>
      <c r="K236" s="205">
        <f t="shared" si="3"/>
        <v>0</v>
      </c>
    </row>
    <row r="237" spans="1:11">
      <c r="A237" s="147">
        <v>24072</v>
      </c>
      <c r="B237" s="148" t="s">
        <v>226</v>
      </c>
      <c r="C237" s="60">
        <f>ROUND(VLOOKUP(A237,'Contribution Allocation_Report'!$A$9:$D$311,4,FALSE)*$C$312,0)</f>
        <v>2457084</v>
      </c>
      <c r="D237" s="60">
        <f>ROUND(VLOOKUP(A237,'Contribution Allocation_Report'!$A$9:$D$311,4,FALSE)*$D$312,0)</f>
        <v>3066524</v>
      </c>
      <c r="E237" s="60">
        <f>ROUND(VLOOKUP(A237,'Contribution Allocation_Report'!$A$9:$D$311,4,FALSE)*$E$312,0)</f>
        <v>3585926</v>
      </c>
      <c r="J237" s="166">
        <v>24072</v>
      </c>
      <c r="K237" s="205">
        <f t="shared" si="3"/>
        <v>0</v>
      </c>
    </row>
    <row r="238" spans="1:11">
      <c r="A238" s="143">
        <v>14366</v>
      </c>
      <c r="B238" s="149" t="s">
        <v>227</v>
      </c>
      <c r="C238" s="61">
        <f>ROUND(VLOOKUP(A238,'Contribution Allocation_Report'!$A$9:$D$311,4,FALSE)*$C$312,0)</f>
        <v>1299459</v>
      </c>
      <c r="D238" s="61">
        <f>ROUND(VLOOKUP(A238,'Contribution Allocation_Report'!$A$9:$D$311,4,FALSE)*$D$312,0)</f>
        <v>1621769</v>
      </c>
      <c r="E238" s="61">
        <f>ROUND(VLOOKUP(A238,'Contribution Allocation_Report'!$A$9:$D$311,4,FALSE)*$E$312,0)</f>
        <v>1896461</v>
      </c>
      <c r="J238" s="164">
        <v>14366</v>
      </c>
      <c r="K238" s="205">
        <f t="shared" si="3"/>
        <v>0</v>
      </c>
    </row>
    <row r="239" spans="1:11">
      <c r="A239" s="147">
        <v>4317</v>
      </c>
      <c r="B239" s="148" t="s">
        <v>228</v>
      </c>
      <c r="C239" s="60">
        <f>ROUND(VLOOKUP(A239,'Contribution Allocation_Report'!$A$9:$D$311,4,FALSE)*$C$312,0)</f>
        <v>429987</v>
      </c>
      <c r="D239" s="60">
        <f>ROUND(VLOOKUP(A239,'Contribution Allocation_Report'!$A$9:$D$311,4,FALSE)*$D$312,0)</f>
        <v>536638</v>
      </c>
      <c r="E239" s="60">
        <f>ROUND(VLOOKUP(A239,'Contribution Allocation_Report'!$A$9:$D$311,4,FALSE)*$E$312,0)</f>
        <v>627532</v>
      </c>
      <c r="J239" s="166">
        <v>4317</v>
      </c>
      <c r="K239" s="205">
        <f t="shared" si="3"/>
        <v>0</v>
      </c>
    </row>
    <row r="240" spans="1:11">
      <c r="A240" s="143">
        <v>32120</v>
      </c>
      <c r="B240" s="149" t="s">
        <v>229</v>
      </c>
      <c r="C240" s="61">
        <f>ROUND(VLOOKUP(A240,'Contribution Allocation_Report'!$A$9:$D$311,4,FALSE)*$C$312,0)</f>
        <v>531124</v>
      </c>
      <c r="D240" s="61">
        <f>ROUND(VLOOKUP(A240,'Contribution Allocation_Report'!$A$9:$D$311,4,FALSE)*$D$312,0)</f>
        <v>662861</v>
      </c>
      <c r="E240" s="61">
        <f>ROUND(VLOOKUP(A240,'Contribution Allocation_Report'!$A$9:$D$311,4,FALSE)*$E$312,0)</f>
        <v>775136</v>
      </c>
      <c r="J240" s="164">
        <v>32120</v>
      </c>
      <c r="K240" s="205">
        <f t="shared" si="3"/>
        <v>0</v>
      </c>
    </row>
    <row r="241" spans="1:11">
      <c r="A241" s="147">
        <v>3300</v>
      </c>
      <c r="B241" s="148" t="s">
        <v>230</v>
      </c>
      <c r="C241" s="60">
        <f>ROUND(VLOOKUP(A241,'Contribution Allocation_Report'!$A$9:$D$311,4,FALSE)*$C$312,0)</f>
        <v>1152101</v>
      </c>
      <c r="D241" s="60">
        <f>ROUND(VLOOKUP(A241,'Contribution Allocation_Report'!$A$9:$D$311,4,FALSE)*$D$312,0)</f>
        <v>1437861</v>
      </c>
      <c r="E241" s="60">
        <f>ROUND(VLOOKUP(A241,'Contribution Allocation_Report'!$A$9:$D$311,4,FALSE)*$E$312,0)</f>
        <v>1681403</v>
      </c>
      <c r="J241" s="166">
        <v>3300</v>
      </c>
      <c r="K241" s="205">
        <f t="shared" si="3"/>
        <v>0</v>
      </c>
    </row>
    <row r="242" spans="1:11">
      <c r="A242" s="143">
        <v>8026</v>
      </c>
      <c r="B242" s="149" t="s">
        <v>231</v>
      </c>
      <c r="C242" s="61">
        <f>ROUND(VLOOKUP(A242,'Contribution Allocation_Report'!$A$9:$D$311,4,FALSE)*$C$312,0)</f>
        <v>6309587</v>
      </c>
      <c r="D242" s="61">
        <f>ROUND(VLOOKUP(A242,'Contribution Allocation_Report'!$A$9:$D$311,4,FALSE)*$D$312,0)</f>
        <v>7874578</v>
      </c>
      <c r="E242" s="61">
        <f>ROUND(VLOOKUP(A242,'Contribution Allocation_Report'!$A$9:$D$311,4,FALSE)*$E$312,0)</f>
        <v>9208360</v>
      </c>
      <c r="J242" s="164">
        <v>8026</v>
      </c>
      <c r="K242" s="205">
        <f t="shared" si="3"/>
        <v>0</v>
      </c>
    </row>
    <row r="243" spans="1:11">
      <c r="A243" s="147">
        <v>32119</v>
      </c>
      <c r="B243" s="148" t="s">
        <v>232</v>
      </c>
      <c r="C243" s="60">
        <f>ROUND(VLOOKUP(A243,'Contribution Allocation_Report'!$A$9:$D$311,4,FALSE)*$C$312,0)</f>
        <v>230026</v>
      </c>
      <c r="D243" s="60">
        <f>ROUND(VLOOKUP(A243,'Contribution Allocation_Report'!$A$9:$D$311,4,FALSE)*$D$312,0)</f>
        <v>287081</v>
      </c>
      <c r="E243" s="60">
        <f>ROUND(VLOOKUP(A243,'Contribution Allocation_Report'!$A$9:$D$311,4,FALSE)*$E$312,0)</f>
        <v>335706</v>
      </c>
      <c r="J243" s="166">
        <v>32119</v>
      </c>
      <c r="K243" s="205">
        <f t="shared" si="3"/>
        <v>0</v>
      </c>
    </row>
    <row r="244" spans="1:11">
      <c r="A244" s="143">
        <v>25076</v>
      </c>
      <c r="B244" s="149" t="s">
        <v>233</v>
      </c>
      <c r="C244" s="61">
        <f>ROUND(VLOOKUP(A244,'Contribution Allocation_Report'!$A$9:$D$311,4,FALSE)*$C$312,0)</f>
        <v>3725638</v>
      </c>
      <c r="D244" s="61">
        <f>ROUND(VLOOKUP(A244,'Contribution Allocation_Report'!$A$9:$D$311,4,FALSE)*$D$312,0)</f>
        <v>4649722</v>
      </c>
      <c r="E244" s="61">
        <f>ROUND(VLOOKUP(A244,'Contribution Allocation_Report'!$A$9:$D$311,4,FALSE)*$E$312,0)</f>
        <v>5437284</v>
      </c>
      <c r="J244" s="164">
        <v>25076</v>
      </c>
      <c r="K244" s="205">
        <f t="shared" si="3"/>
        <v>0</v>
      </c>
    </row>
    <row r="245" spans="1:11">
      <c r="A245" s="147">
        <v>2440</v>
      </c>
      <c r="B245" s="148" t="s">
        <v>413</v>
      </c>
      <c r="C245" s="60">
        <f>ROUND(VLOOKUP(A245,'Contribution Allocation_Report'!$A$9:$D$311,4,FALSE)*$C$312,0)</f>
        <v>531981</v>
      </c>
      <c r="D245" s="60">
        <f>ROUND(VLOOKUP(A245,'Contribution Allocation_Report'!$A$9:$D$311,4,FALSE)*$D$312,0)</f>
        <v>663931</v>
      </c>
      <c r="E245" s="60">
        <f>ROUND(VLOOKUP(A245,'Contribution Allocation_Report'!$A$9:$D$311,4,FALSE)*$E$312,0)</f>
        <v>776386</v>
      </c>
      <c r="J245" s="166">
        <v>2440</v>
      </c>
      <c r="K245" s="205">
        <f t="shared" si="3"/>
        <v>0</v>
      </c>
    </row>
    <row r="246" spans="1:11">
      <c r="A246" s="143">
        <v>2309</v>
      </c>
      <c r="B246" s="149" t="s">
        <v>234</v>
      </c>
      <c r="C246" s="61">
        <f>ROUND(VLOOKUP(A246,'Contribution Allocation_Report'!$A$9:$D$311,4,FALSE)*$C$312,0)</f>
        <v>1575013</v>
      </c>
      <c r="D246" s="61">
        <f>ROUND(VLOOKUP(A246,'Contribution Allocation_Report'!$A$9:$D$311,4,FALSE)*$D$312,0)</f>
        <v>1965669</v>
      </c>
      <c r="E246" s="61">
        <f>ROUND(VLOOKUP(A246,'Contribution Allocation_Report'!$A$9:$D$311,4,FALSE)*$E$312,0)</f>
        <v>2298611</v>
      </c>
      <c r="J246" s="164">
        <v>2309</v>
      </c>
      <c r="K246" s="205">
        <f t="shared" si="3"/>
        <v>0</v>
      </c>
    </row>
    <row r="247" spans="1:11">
      <c r="A247" s="147">
        <v>2396</v>
      </c>
      <c r="B247" s="148" t="s">
        <v>235</v>
      </c>
      <c r="C247" s="60">
        <f>ROUND(VLOOKUP(A247,'Contribution Allocation_Report'!$A$9:$D$311,4,FALSE)*$C$312,0)</f>
        <v>474183</v>
      </c>
      <c r="D247" s="60">
        <f>ROUND(VLOOKUP(A247,'Contribution Allocation_Report'!$A$9:$D$311,4,FALSE)*$D$312,0)</f>
        <v>591797</v>
      </c>
      <c r="E247" s="60">
        <f>ROUND(VLOOKUP(A247,'Contribution Allocation_Report'!$A$9:$D$311,4,FALSE)*$E$312,0)</f>
        <v>692034</v>
      </c>
      <c r="J247" s="166">
        <v>2396</v>
      </c>
      <c r="K247" s="205">
        <f t="shared" si="3"/>
        <v>0</v>
      </c>
    </row>
    <row r="248" spans="1:11">
      <c r="A248" s="143">
        <v>3380</v>
      </c>
      <c r="B248" s="149" t="s">
        <v>236</v>
      </c>
      <c r="C248" s="61">
        <f>ROUND(VLOOKUP(A248,'Contribution Allocation_Report'!$A$9:$D$311,4,FALSE)*$C$312,0)</f>
        <v>335303</v>
      </c>
      <c r="D248" s="61">
        <f>ROUND(VLOOKUP(A248,'Contribution Allocation_Report'!$A$9:$D$311,4,FALSE)*$D$312,0)</f>
        <v>418470</v>
      </c>
      <c r="E248" s="61">
        <f>ROUND(VLOOKUP(A248,'Contribution Allocation_Report'!$A$9:$D$311,4,FALSE)*$E$312,0)</f>
        <v>489349</v>
      </c>
      <c r="J248" s="164">
        <v>3380</v>
      </c>
      <c r="K248" s="205">
        <f t="shared" si="3"/>
        <v>0</v>
      </c>
    </row>
    <row r="249" spans="1:11">
      <c r="A249" s="147">
        <v>2420</v>
      </c>
      <c r="B249" s="148" t="s">
        <v>237</v>
      </c>
      <c r="C249" s="60">
        <f>ROUND(VLOOKUP(A249,'Contribution Allocation_Report'!$A$9:$D$311,4,FALSE)*$C$312,0)</f>
        <v>438902</v>
      </c>
      <c r="D249" s="60">
        <f>ROUND(VLOOKUP(A249,'Contribution Allocation_Report'!$A$9:$D$311,4,FALSE)*$D$312,0)</f>
        <v>547765</v>
      </c>
      <c r="E249" s="60">
        <f>ROUND(VLOOKUP(A249,'Contribution Allocation_Report'!$A$9:$D$311,4,FALSE)*$E$312,0)</f>
        <v>640545</v>
      </c>
      <c r="J249" s="166">
        <v>2420</v>
      </c>
      <c r="K249" s="205">
        <f t="shared" si="3"/>
        <v>0</v>
      </c>
    </row>
    <row r="250" spans="1:11">
      <c r="A250" s="143">
        <v>2740</v>
      </c>
      <c r="B250" s="149" t="s">
        <v>238</v>
      </c>
      <c r="C250" s="61">
        <f>ROUND(VLOOKUP(A250,'Contribution Allocation_Report'!$A$9:$D$311,4,FALSE)*$C$312,0)</f>
        <v>95613</v>
      </c>
      <c r="D250" s="61">
        <f>ROUND(VLOOKUP(A250,'Contribution Allocation_Report'!$A$9:$D$311,4,FALSE)*$D$312,0)</f>
        <v>119329</v>
      </c>
      <c r="E250" s="61">
        <f>ROUND(VLOOKUP(A250,'Contribution Allocation_Report'!$A$9:$D$311,4,FALSE)*$E$312,0)</f>
        <v>139540</v>
      </c>
      <c r="J250" s="164">
        <v>2740</v>
      </c>
      <c r="K250" s="205">
        <f t="shared" si="3"/>
        <v>0</v>
      </c>
    </row>
    <row r="251" spans="1:11">
      <c r="A251" s="147">
        <v>2346</v>
      </c>
      <c r="B251" s="148" t="s">
        <v>239</v>
      </c>
      <c r="C251" s="60">
        <f>ROUND(VLOOKUP(A251,'Contribution Allocation_Report'!$A$9:$D$311,4,FALSE)*$C$312,0)</f>
        <v>392099</v>
      </c>
      <c r="D251" s="60">
        <f>ROUND(VLOOKUP(A251,'Contribution Allocation_Report'!$A$9:$D$311,4,FALSE)*$D$312,0)</f>
        <v>489352</v>
      </c>
      <c r="E251" s="60">
        <f>ROUND(VLOOKUP(A251,'Contribution Allocation_Report'!$A$9:$D$311,4,FALSE)*$E$312,0)</f>
        <v>572238</v>
      </c>
      <c r="J251" s="166">
        <v>2346</v>
      </c>
      <c r="K251" s="205">
        <f t="shared" si="3"/>
        <v>0</v>
      </c>
    </row>
    <row r="252" spans="1:11">
      <c r="A252" s="143">
        <v>21150</v>
      </c>
      <c r="B252" s="149" t="s">
        <v>240</v>
      </c>
      <c r="C252" s="61">
        <f>ROUND(VLOOKUP(A252,'Contribution Allocation_Report'!$A$9:$D$311,4,FALSE)*$C$312,0)</f>
        <v>910296</v>
      </c>
      <c r="D252" s="61">
        <f>ROUND(VLOOKUP(A252,'Contribution Allocation_Report'!$A$9:$D$311,4,FALSE)*$D$312,0)</f>
        <v>1136080</v>
      </c>
      <c r="E252" s="61">
        <f>ROUND(VLOOKUP(A252,'Contribution Allocation_Report'!$A$9:$D$311,4,FALSE)*$E$312,0)</f>
        <v>1328507</v>
      </c>
      <c r="J252" s="164">
        <v>21150</v>
      </c>
      <c r="K252" s="205">
        <f t="shared" si="3"/>
        <v>0</v>
      </c>
    </row>
    <row r="253" spans="1:11">
      <c r="A253" s="147">
        <v>32098</v>
      </c>
      <c r="B253" s="148" t="s">
        <v>241</v>
      </c>
      <c r="C253" s="60">
        <f>ROUND(VLOOKUP(A253,'Contribution Allocation_Report'!$A$9:$D$311,4,FALSE)*$C$312,0)</f>
        <v>392627</v>
      </c>
      <c r="D253" s="60">
        <f>ROUND(VLOOKUP(A253,'Contribution Allocation_Report'!$A$9:$D$311,4,FALSE)*$D$312,0)</f>
        <v>490012</v>
      </c>
      <c r="E253" s="60">
        <f>ROUND(VLOOKUP(A253,'Contribution Allocation_Report'!$A$9:$D$311,4,FALSE)*$E$312,0)</f>
        <v>573010</v>
      </c>
      <c r="J253" s="166">
        <v>32098</v>
      </c>
      <c r="K253" s="205">
        <f t="shared" si="3"/>
        <v>0</v>
      </c>
    </row>
    <row r="254" spans="1:11">
      <c r="A254" s="143">
        <v>4520</v>
      </c>
      <c r="B254" s="149" t="s">
        <v>242</v>
      </c>
      <c r="C254" s="61">
        <f>ROUND(VLOOKUP(A254,'Contribution Allocation_Report'!$A$9:$D$311,4,FALSE)*$C$312,0)</f>
        <v>58017</v>
      </c>
      <c r="D254" s="61">
        <f>ROUND(VLOOKUP(A254,'Contribution Allocation_Report'!$A$9:$D$311,4,FALSE)*$D$312,0)</f>
        <v>72407</v>
      </c>
      <c r="E254" s="61">
        <f>ROUND(VLOOKUP(A254,'Contribution Allocation_Report'!$A$9:$D$311,4,FALSE)*$E$312,0)</f>
        <v>84672</v>
      </c>
      <c r="J254" s="164">
        <v>4520</v>
      </c>
      <c r="K254" s="205">
        <f t="shared" si="3"/>
        <v>0</v>
      </c>
    </row>
    <row r="255" spans="1:11">
      <c r="A255" s="147">
        <v>9030</v>
      </c>
      <c r="B255" s="148" t="s">
        <v>243</v>
      </c>
      <c r="C255" s="60">
        <f>ROUND(VLOOKUP(A255,'Contribution Allocation_Report'!$A$9:$D$311,4,FALSE)*$C$312,0)</f>
        <v>543578</v>
      </c>
      <c r="D255" s="60">
        <f>ROUND(VLOOKUP(A255,'Contribution Allocation_Report'!$A$9:$D$311,4,FALSE)*$D$312,0)</f>
        <v>678403</v>
      </c>
      <c r="E255" s="60">
        <f>ROUND(VLOOKUP(A255,'Contribution Allocation_Report'!$A$9:$D$311,4,FALSE)*$E$312,0)</f>
        <v>793310</v>
      </c>
      <c r="J255" s="166">
        <v>9030</v>
      </c>
      <c r="K255" s="205">
        <f t="shared" si="3"/>
        <v>0</v>
      </c>
    </row>
    <row r="256" spans="1:11">
      <c r="A256" s="143">
        <v>20265</v>
      </c>
      <c r="B256" s="149" t="s">
        <v>244</v>
      </c>
      <c r="C256" s="61">
        <f>ROUND(VLOOKUP(A256,'Contribution Allocation_Report'!$A$9:$D$311,4,FALSE)*$C$312,0)</f>
        <v>628051</v>
      </c>
      <c r="D256" s="61">
        <f>ROUND(VLOOKUP(A256,'Contribution Allocation_Report'!$A$9:$D$311,4,FALSE)*$D$312,0)</f>
        <v>783828</v>
      </c>
      <c r="E256" s="61">
        <f>ROUND(VLOOKUP(A256,'Contribution Allocation_Report'!$A$9:$D$311,4,FALSE)*$E$312,0)</f>
        <v>916592</v>
      </c>
      <c r="J256" s="164">
        <v>20265</v>
      </c>
      <c r="K256" s="205">
        <f t="shared" si="3"/>
        <v>0</v>
      </c>
    </row>
    <row r="257" spans="1:11">
      <c r="A257" s="147">
        <v>20307</v>
      </c>
      <c r="B257" s="148" t="s">
        <v>245</v>
      </c>
      <c r="C257" s="60">
        <f>ROUND(VLOOKUP(A257,'Contribution Allocation_Report'!$A$9:$D$311,4,FALSE)*$C$312,0)</f>
        <v>570252</v>
      </c>
      <c r="D257" s="60">
        <f>ROUND(VLOOKUP(A257,'Contribution Allocation_Report'!$A$9:$D$311,4,FALSE)*$D$312,0)</f>
        <v>711694</v>
      </c>
      <c r="E257" s="60">
        <f>ROUND(VLOOKUP(A257,'Contribution Allocation_Report'!$A$9:$D$311,4,FALSE)*$E$312,0)</f>
        <v>832240</v>
      </c>
      <c r="J257" s="166">
        <v>20307</v>
      </c>
      <c r="K257" s="205">
        <f t="shared" si="3"/>
        <v>0</v>
      </c>
    </row>
    <row r="258" spans="1:11">
      <c r="A258" s="143">
        <v>3320</v>
      </c>
      <c r="B258" s="149" t="s">
        <v>246</v>
      </c>
      <c r="C258" s="61">
        <f>ROUND(VLOOKUP(A258,'Contribution Allocation_Report'!$A$9:$D$311,4,FALSE)*$C$312,0)</f>
        <v>3507883</v>
      </c>
      <c r="D258" s="61">
        <f>ROUND(VLOOKUP(A258,'Contribution Allocation_Report'!$A$9:$D$311,4,FALSE)*$D$312,0)</f>
        <v>4377956</v>
      </c>
      <c r="E258" s="61">
        <f>ROUND(VLOOKUP(A258,'Contribution Allocation_Report'!$A$9:$D$311,4,FALSE)*$E$312,0)</f>
        <v>5119487</v>
      </c>
      <c r="J258" s="164">
        <v>3320</v>
      </c>
      <c r="K258" s="205">
        <f t="shared" si="3"/>
        <v>0</v>
      </c>
    </row>
    <row r="259" spans="1:11">
      <c r="A259" s="147">
        <v>20415</v>
      </c>
      <c r="B259" s="148" t="s">
        <v>247</v>
      </c>
      <c r="C259" s="60">
        <f>ROUND(VLOOKUP(A259,'Contribution Allocation_Report'!$A$9:$D$311,4,FALSE)*$C$312,0)</f>
        <v>425246</v>
      </c>
      <c r="D259" s="60">
        <f>ROUND(VLOOKUP(A259,'Contribution Allocation_Report'!$A$9:$D$311,4,FALSE)*$D$312,0)</f>
        <v>530721</v>
      </c>
      <c r="E259" s="60">
        <f>ROUND(VLOOKUP(A259,'Contribution Allocation_Report'!$A$9:$D$311,4,FALSE)*$E$312,0)</f>
        <v>620614</v>
      </c>
      <c r="J259" s="166">
        <v>20415</v>
      </c>
      <c r="K259" s="205">
        <f t="shared" si="3"/>
        <v>0</v>
      </c>
    </row>
    <row r="260" spans="1:11">
      <c r="A260" s="143">
        <v>20435</v>
      </c>
      <c r="B260" s="149" t="s">
        <v>435</v>
      </c>
      <c r="C260" s="61">
        <f>ROUND(VLOOKUP(A260,'Contribution Allocation_Report'!$A$9:$D$311,4,FALSE)*$C$312,0)</f>
        <v>533276</v>
      </c>
      <c r="D260" s="61">
        <f>ROUND(VLOOKUP(A260,'Contribution Allocation_Report'!$A$9:$D$311,4,FALSE)*$D$312,0)</f>
        <v>665546</v>
      </c>
      <c r="E260" s="61">
        <f>ROUND(VLOOKUP(A260,'Contribution Allocation_Report'!$A$9:$D$311,4,FALSE)*$E$312,0)</f>
        <v>778275</v>
      </c>
      <c r="J260" s="164">
        <v>20435</v>
      </c>
      <c r="K260" s="205">
        <f t="shared" si="3"/>
        <v>0</v>
      </c>
    </row>
    <row r="261" spans="1:11">
      <c r="A261" s="147">
        <v>20062</v>
      </c>
      <c r="B261" s="148" t="s">
        <v>248</v>
      </c>
      <c r="C261" s="60">
        <f>ROUND(VLOOKUP(A261,'Contribution Allocation_Report'!$A$9:$D$311,4,FALSE)*$C$312,0)</f>
        <v>5451838</v>
      </c>
      <c r="D261" s="60">
        <f>ROUND(VLOOKUP(A261,'Contribution Allocation_Report'!$A$9:$D$311,4,FALSE)*$D$312,0)</f>
        <v>6804078</v>
      </c>
      <c r="E261" s="60">
        <f>ROUND(VLOOKUP(A261,'Contribution Allocation_Report'!$A$9:$D$311,4,FALSE)*$E$312,0)</f>
        <v>7956541</v>
      </c>
      <c r="J261" s="166">
        <v>20062</v>
      </c>
      <c r="K261" s="205">
        <f t="shared" si="3"/>
        <v>0</v>
      </c>
    </row>
    <row r="262" spans="1:11">
      <c r="A262" s="143">
        <v>6020</v>
      </c>
      <c r="B262" s="149" t="s">
        <v>249</v>
      </c>
      <c r="C262" s="61">
        <f>ROUND(VLOOKUP(A262,'Contribution Allocation_Report'!$A$9:$D$311,4,FALSE)*$C$312,0)</f>
        <v>1061410</v>
      </c>
      <c r="D262" s="61">
        <f>ROUND(VLOOKUP(A262,'Contribution Allocation_Report'!$A$9:$D$311,4,FALSE)*$D$312,0)</f>
        <v>1324676</v>
      </c>
      <c r="E262" s="61">
        <f>ROUND(VLOOKUP(A262,'Contribution Allocation_Report'!$A$9:$D$311,4,FALSE)*$E$312,0)</f>
        <v>1549047</v>
      </c>
      <c r="J262" s="164">
        <v>6020</v>
      </c>
      <c r="K262" s="205">
        <f t="shared" si="3"/>
        <v>0</v>
      </c>
    </row>
    <row r="263" spans="1:11">
      <c r="A263" s="147">
        <v>2394</v>
      </c>
      <c r="B263" s="148" t="s">
        <v>250</v>
      </c>
      <c r="C263" s="60">
        <f>ROUND(VLOOKUP(A263,'Contribution Allocation_Report'!$A$9:$D$311,4,FALSE)*$C$312,0)</f>
        <v>633721</v>
      </c>
      <c r="D263" s="60">
        <f>ROUND(VLOOKUP(A263,'Contribution Allocation_Report'!$A$9:$D$311,4,FALSE)*$D$312,0)</f>
        <v>790905</v>
      </c>
      <c r="E263" s="60">
        <f>ROUND(VLOOKUP(A263,'Contribution Allocation_Report'!$A$9:$D$311,4,FALSE)*$E$312,0)</f>
        <v>924867</v>
      </c>
      <c r="J263" s="166">
        <v>2394</v>
      </c>
      <c r="K263" s="205">
        <f t="shared" si="3"/>
        <v>0</v>
      </c>
    </row>
    <row r="264" spans="1:11">
      <c r="A264" s="143">
        <v>5015</v>
      </c>
      <c r="B264" s="149" t="s">
        <v>251</v>
      </c>
      <c r="C264" s="61">
        <f>ROUND(VLOOKUP(A264,'Contribution Allocation_Report'!$A$9:$D$311,4,FALSE)*$C$312,0)</f>
        <v>1533259</v>
      </c>
      <c r="D264" s="61">
        <f>ROUND(VLOOKUP(A264,'Contribution Allocation_Report'!$A$9:$D$311,4,FALSE)*$D$312,0)</f>
        <v>1913560</v>
      </c>
      <c r="E264" s="61">
        <f>ROUND(VLOOKUP(A264,'Contribution Allocation_Report'!$A$9:$D$311,4,FALSE)*$E$312,0)</f>
        <v>2237675</v>
      </c>
      <c r="J264" s="164">
        <v>5015</v>
      </c>
      <c r="K264" s="205">
        <f t="shared" si="3"/>
        <v>0</v>
      </c>
    </row>
    <row r="265" spans="1:11">
      <c r="A265" s="147">
        <v>29408</v>
      </c>
      <c r="B265" s="148" t="s">
        <v>252</v>
      </c>
      <c r="C265" s="60">
        <f>ROUND(VLOOKUP(A265,'Contribution Allocation_Report'!$A$9:$D$311,4,FALSE)*$C$312,0)</f>
        <v>992836</v>
      </c>
      <c r="D265" s="60">
        <f>ROUND(VLOOKUP(A265,'Contribution Allocation_Report'!$A$9:$D$311,4,FALSE)*$D$312,0)</f>
        <v>1239093</v>
      </c>
      <c r="E265" s="60">
        <f>ROUND(VLOOKUP(A265,'Contribution Allocation_Report'!$A$9:$D$311,4,FALSE)*$E$312,0)</f>
        <v>1448969</v>
      </c>
      <c r="J265" s="166">
        <v>29408</v>
      </c>
      <c r="K265" s="205">
        <f t="shared" ref="K265:K310" si="4">+A265-J265</f>
        <v>0</v>
      </c>
    </row>
    <row r="266" spans="1:11">
      <c r="A266" s="143">
        <v>2413</v>
      </c>
      <c r="B266" s="149" t="s">
        <v>253</v>
      </c>
      <c r="C266" s="61">
        <f>ROUND(VLOOKUP(A266,'Contribution Allocation_Report'!$A$9:$D$311,4,FALSE)*$C$312,0)</f>
        <v>215148</v>
      </c>
      <c r="D266" s="61">
        <f>ROUND(VLOOKUP(A266,'Contribution Allocation_Report'!$A$9:$D$311,4,FALSE)*$D$312,0)</f>
        <v>268512</v>
      </c>
      <c r="E266" s="61">
        <f>ROUND(VLOOKUP(A266,'Contribution Allocation_Report'!$A$9:$D$311,4,FALSE)*$E$312,0)</f>
        <v>313992</v>
      </c>
      <c r="J266" s="164">
        <v>2413</v>
      </c>
      <c r="K266" s="205">
        <f t="shared" si="4"/>
        <v>0</v>
      </c>
    </row>
    <row r="267" spans="1:11">
      <c r="A267" s="147">
        <v>1398</v>
      </c>
      <c r="B267" s="148" t="s">
        <v>254</v>
      </c>
      <c r="C267" s="60">
        <f>ROUND(VLOOKUP(A267,'Contribution Allocation_Report'!$A$9:$D$311,4,FALSE)*$C$312,0)</f>
        <v>401470</v>
      </c>
      <c r="D267" s="60">
        <f>ROUND(VLOOKUP(A267,'Contribution Allocation_Report'!$A$9:$D$311,4,FALSE)*$D$312,0)</f>
        <v>501048</v>
      </c>
      <c r="E267" s="60">
        <f>ROUND(VLOOKUP(A267,'Contribution Allocation_Report'!$A$9:$D$311,4,FALSE)*$E$312,0)</f>
        <v>585915</v>
      </c>
      <c r="J267" s="166">
        <v>1398</v>
      </c>
      <c r="K267" s="205">
        <f t="shared" si="4"/>
        <v>0</v>
      </c>
    </row>
    <row r="268" spans="1:11">
      <c r="A268" s="143">
        <v>2366</v>
      </c>
      <c r="B268" s="149" t="s">
        <v>255</v>
      </c>
      <c r="C268" s="61">
        <f>ROUND(VLOOKUP(A268,'Contribution Allocation_Report'!$A$9:$D$311,4,FALSE)*$C$312,0)</f>
        <v>432703</v>
      </c>
      <c r="D268" s="61">
        <f>ROUND(VLOOKUP(A268,'Contribution Allocation_Report'!$A$9:$D$311,4,FALSE)*$D$312,0)</f>
        <v>540028</v>
      </c>
      <c r="E268" s="61">
        <f>ROUND(VLOOKUP(A268,'Contribution Allocation_Report'!$A$9:$D$311,4,FALSE)*$E$312,0)</f>
        <v>631497</v>
      </c>
      <c r="J268" s="164">
        <v>2366</v>
      </c>
      <c r="K268" s="205">
        <f t="shared" si="4"/>
        <v>0</v>
      </c>
    </row>
    <row r="269" spans="1:11">
      <c r="A269" s="147">
        <v>7421</v>
      </c>
      <c r="B269" s="148" t="s">
        <v>256</v>
      </c>
      <c r="C269" s="60">
        <f>ROUND(VLOOKUP(A269,'Contribution Allocation_Report'!$A$9:$D$311,4,FALSE)*$C$312,0)</f>
        <v>435602</v>
      </c>
      <c r="D269" s="60">
        <f>ROUND(VLOOKUP(A269,'Contribution Allocation_Report'!$A$9:$D$311,4,FALSE)*$D$312,0)</f>
        <v>543646</v>
      </c>
      <c r="E269" s="60">
        <f>ROUND(VLOOKUP(A269,'Contribution Allocation_Report'!$A$9:$D$311,4,FALSE)*$E$312,0)</f>
        <v>635728</v>
      </c>
      <c r="J269" s="166">
        <v>7421</v>
      </c>
      <c r="K269" s="205">
        <f t="shared" si="4"/>
        <v>0</v>
      </c>
    </row>
    <row r="270" spans="1:11">
      <c r="A270" s="143">
        <v>1425</v>
      </c>
      <c r="B270" s="149" t="s">
        <v>534</v>
      </c>
      <c r="C270" s="61">
        <f>ROUND(VLOOKUP(A270,'Contribution Allocation_Report'!$A$9:$D$311,4,FALSE)*$C$312,0)</f>
        <v>22153</v>
      </c>
      <c r="D270" s="61">
        <f>ROUND(VLOOKUP(A270,'Contribution Allocation_Report'!$A$9:$D$311,4,FALSE)*$D$312,0)</f>
        <v>27648</v>
      </c>
      <c r="E270" s="61">
        <f>ROUND(VLOOKUP(A270,'Contribution Allocation_Report'!$A$9:$D$311,4,FALSE)*$E$312,0)</f>
        <v>32331</v>
      </c>
      <c r="J270" s="164">
        <v>1425</v>
      </c>
      <c r="K270" s="205">
        <f t="shared" si="4"/>
        <v>0</v>
      </c>
    </row>
    <row r="271" spans="1:11">
      <c r="A271" s="147">
        <v>2370</v>
      </c>
      <c r="B271" s="148" t="s">
        <v>257</v>
      </c>
      <c r="C271" s="60">
        <f>ROUND(VLOOKUP(A271,'Contribution Allocation_Report'!$A$9:$D$311,4,FALSE)*$C$312,0)</f>
        <v>658281</v>
      </c>
      <c r="D271" s="60">
        <f>ROUND(VLOOKUP(A271,'Contribution Allocation_Report'!$A$9:$D$311,4,FALSE)*$D$312,0)</f>
        <v>821557</v>
      </c>
      <c r="E271" s="60">
        <f>ROUND(VLOOKUP(A271,'Contribution Allocation_Report'!$A$9:$D$311,4,FALSE)*$E$312,0)</f>
        <v>960710</v>
      </c>
      <c r="J271" s="166">
        <v>2370</v>
      </c>
      <c r="K271" s="205">
        <f t="shared" si="4"/>
        <v>0</v>
      </c>
    </row>
    <row r="272" spans="1:11">
      <c r="A272" s="143">
        <v>32094</v>
      </c>
      <c r="B272" s="149" t="s">
        <v>258</v>
      </c>
      <c r="C272" s="61">
        <f>ROUND(VLOOKUP(A272,'Contribution Allocation_Report'!$A$9:$D$311,4,FALSE)*$C$312,0)</f>
        <v>777378</v>
      </c>
      <c r="D272" s="61">
        <f>ROUND(VLOOKUP(A272,'Contribution Allocation_Report'!$A$9:$D$311,4,FALSE)*$D$312,0)</f>
        <v>970194</v>
      </c>
      <c r="E272" s="61">
        <f>ROUND(VLOOKUP(A272,'Contribution Allocation_Report'!$A$9:$D$311,4,FALSE)*$E$312,0)</f>
        <v>1134524</v>
      </c>
      <c r="J272" s="164">
        <v>32094</v>
      </c>
      <c r="K272" s="205">
        <f t="shared" si="4"/>
        <v>0</v>
      </c>
    </row>
    <row r="273" spans="1:11">
      <c r="A273" s="147">
        <v>2790</v>
      </c>
      <c r="B273" s="148" t="s">
        <v>259</v>
      </c>
      <c r="C273" s="60">
        <f>ROUND(VLOOKUP(A273,'Contribution Allocation_Report'!$A$9:$D$311,4,FALSE)*$C$312,0)</f>
        <v>82869</v>
      </c>
      <c r="D273" s="60">
        <f>ROUND(VLOOKUP(A273,'Contribution Allocation_Report'!$A$9:$D$311,4,FALSE)*$D$312,0)</f>
        <v>103423</v>
      </c>
      <c r="E273" s="60">
        <f>ROUND(VLOOKUP(A273,'Contribution Allocation_Report'!$A$9:$D$311,4,FALSE)*$E$312,0)</f>
        <v>120940</v>
      </c>
      <c r="J273" s="166">
        <v>2790</v>
      </c>
      <c r="K273" s="205">
        <f t="shared" si="4"/>
        <v>0</v>
      </c>
    </row>
    <row r="274" spans="1:11">
      <c r="A274" s="143">
        <v>3330</v>
      </c>
      <c r="B274" s="149" t="s">
        <v>260</v>
      </c>
      <c r="C274" s="61">
        <f>ROUND(VLOOKUP(A274,'Contribution Allocation_Report'!$A$9:$D$311,4,FALSE)*$C$312,0)</f>
        <v>1713401</v>
      </c>
      <c r="D274" s="61">
        <f>ROUND(VLOOKUP(A274,'Contribution Allocation_Report'!$A$9:$D$311,4,FALSE)*$D$312,0)</f>
        <v>2138382</v>
      </c>
      <c r="E274" s="61">
        <f>ROUND(VLOOKUP(A274,'Contribution Allocation_Report'!$A$9:$D$311,4,FALSE)*$E$312,0)</f>
        <v>2500577</v>
      </c>
      <c r="J274" s="164">
        <v>3330</v>
      </c>
      <c r="K274" s="205">
        <f t="shared" si="4"/>
        <v>0</v>
      </c>
    </row>
    <row r="275" spans="1:11">
      <c r="A275" s="147">
        <v>2080</v>
      </c>
      <c r="B275" s="148" t="s">
        <v>261</v>
      </c>
      <c r="C275" s="60">
        <f>ROUND(VLOOKUP(A275,'Contribution Allocation_Report'!$A$9:$D$311,4,FALSE)*$C$312,0)</f>
        <v>1901874</v>
      </c>
      <c r="D275" s="60">
        <f>ROUND(VLOOKUP(A275,'Contribution Allocation_Report'!$A$9:$D$311,4,FALSE)*$D$312,0)</f>
        <v>2373603</v>
      </c>
      <c r="E275" s="60">
        <f>ROUND(VLOOKUP(A275,'Contribution Allocation_Report'!$A$9:$D$311,4,FALSE)*$E$312,0)</f>
        <v>2775640</v>
      </c>
      <c r="J275" s="166">
        <v>2080</v>
      </c>
      <c r="K275" s="205">
        <f t="shared" si="4"/>
        <v>0</v>
      </c>
    </row>
    <row r="276" spans="1:11">
      <c r="A276" s="143">
        <v>4290</v>
      </c>
      <c r="B276" s="149" t="s">
        <v>262</v>
      </c>
      <c r="C276" s="61">
        <f>ROUND(VLOOKUP(A276,'Contribution Allocation_Report'!$A$9:$D$311,4,FALSE)*$C$312,0)</f>
        <v>633575</v>
      </c>
      <c r="D276" s="61">
        <f>ROUND(VLOOKUP(A276,'Contribution Allocation_Report'!$A$9:$D$311,4,FALSE)*$D$312,0)</f>
        <v>790723</v>
      </c>
      <c r="E276" s="61">
        <f>ROUND(VLOOKUP(A276,'Contribution Allocation_Report'!$A$9:$D$311,4,FALSE)*$E$312,0)</f>
        <v>924654</v>
      </c>
      <c r="J276" s="164">
        <v>4290</v>
      </c>
      <c r="K276" s="205">
        <f t="shared" si="4"/>
        <v>0</v>
      </c>
    </row>
    <row r="277" spans="1:11">
      <c r="A277" s="147">
        <v>2270</v>
      </c>
      <c r="B277" s="148" t="s">
        <v>263</v>
      </c>
      <c r="C277" s="60">
        <f>ROUND(VLOOKUP(A277,'Contribution Allocation_Report'!$A$9:$D$311,4,FALSE)*$C$312,0)</f>
        <v>31105</v>
      </c>
      <c r="D277" s="60">
        <f>ROUND(VLOOKUP(A277,'Contribution Allocation_Report'!$A$9:$D$311,4,FALSE)*$D$312,0)</f>
        <v>38821</v>
      </c>
      <c r="E277" s="60">
        <f>ROUND(VLOOKUP(A277,'Contribution Allocation_Report'!$A$9:$D$311,4,FALSE)*$E$312,0)</f>
        <v>45396</v>
      </c>
      <c r="J277" s="166">
        <v>2270</v>
      </c>
      <c r="K277" s="205">
        <f t="shared" si="4"/>
        <v>0</v>
      </c>
    </row>
    <row r="278" spans="1:11">
      <c r="A278" s="143">
        <v>2300</v>
      </c>
      <c r="B278" s="149" t="s">
        <v>264</v>
      </c>
      <c r="C278" s="61">
        <f>ROUND(VLOOKUP(A278,'Contribution Allocation_Report'!$A$9:$D$311,4,FALSE)*$C$312,0)</f>
        <v>182329</v>
      </c>
      <c r="D278" s="61">
        <f>ROUND(VLOOKUP(A278,'Contribution Allocation_Report'!$A$9:$D$311,4,FALSE)*$D$312,0)</f>
        <v>227553</v>
      </c>
      <c r="E278" s="61">
        <f>ROUND(VLOOKUP(A278,'Contribution Allocation_Report'!$A$9:$D$311,4,FALSE)*$E$312,0)</f>
        <v>266095</v>
      </c>
      <c r="J278" s="164">
        <v>2300</v>
      </c>
      <c r="K278" s="205">
        <f t="shared" si="4"/>
        <v>0</v>
      </c>
    </row>
    <row r="279" spans="1:11">
      <c r="A279" s="147">
        <v>2720</v>
      </c>
      <c r="B279" s="148" t="s">
        <v>265</v>
      </c>
      <c r="C279" s="60">
        <f>ROUND(VLOOKUP(A279,'Contribution Allocation_Report'!$A$9:$D$311,4,FALSE)*$C$312,0)</f>
        <v>2531401</v>
      </c>
      <c r="D279" s="60">
        <f>ROUND(VLOOKUP(A279,'Contribution Allocation_Report'!$A$9:$D$311,4,FALSE)*$D$312,0)</f>
        <v>3159275</v>
      </c>
      <c r="E279" s="60">
        <f>ROUND(VLOOKUP(A279,'Contribution Allocation_Report'!$A$9:$D$311,4,FALSE)*$E$312,0)</f>
        <v>3694387</v>
      </c>
      <c r="J279" s="166">
        <v>2720</v>
      </c>
      <c r="K279" s="205">
        <f t="shared" si="4"/>
        <v>0</v>
      </c>
    </row>
    <row r="280" spans="1:11">
      <c r="A280" s="143">
        <v>2750</v>
      </c>
      <c r="B280" s="149" t="s">
        <v>266</v>
      </c>
      <c r="C280" s="61">
        <f>ROUND(VLOOKUP(A280,'Contribution Allocation_Report'!$A$9:$D$311,4,FALSE)*$C$312,0)</f>
        <v>189768</v>
      </c>
      <c r="D280" s="61">
        <f>ROUND(VLOOKUP(A280,'Contribution Allocation_Report'!$A$9:$D$311,4,FALSE)*$D$312,0)</f>
        <v>236837</v>
      </c>
      <c r="E280" s="61">
        <f>ROUND(VLOOKUP(A280,'Contribution Allocation_Report'!$A$9:$D$311,4,FALSE)*$E$312,0)</f>
        <v>276952</v>
      </c>
      <c r="J280" s="164">
        <v>2750</v>
      </c>
      <c r="K280" s="205">
        <f t="shared" si="4"/>
        <v>0</v>
      </c>
    </row>
    <row r="281" spans="1:11">
      <c r="A281" s="147">
        <v>2770</v>
      </c>
      <c r="B281" s="148" t="s">
        <v>267</v>
      </c>
      <c r="C281" s="60">
        <f>ROUND(VLOOKUP(A281,'Contribution Allocation_Report'!$A$9:$D$311,4,FALSE)*$C$312,0)</f>
        <v>2139321</v>
      </c>
      <c r="D281" s="60">
        <f>ROUND(VLOOKUP(A281,'Contribution Allocation_Report'!$A$9:$D$311,4,FALSE)*$D$312,0)</f>
        <v>2669945</v>
      </c>
      <c r="E281" s="60">
        <f>ROUND(VLOOKUP(A281,'Contribution Allocation_Report'!$A$9:$D$311,4,FALSE)*$E$312,0)</f>
        <v>3122176</v>
      </c>
      <c r="J281" s="166">
        <v>2770</v>
      </c>
      <c r="K281" s="205">
        <f t="shared" si="4"/>
        <v>0</v>
      </c>
    </row>
    <row r="282" spans="1:11">
      <c r="A282" s="143">
        <v>32106</v>
      </c>
      <c r="B282" s="149" t="s">
        <v>268</v>
      </c>
      <c r="C282" s="61">
        <f>ROUND(VLOOKUP(A282,'Contribution Allocation_Report'!$A$9:$D$311,4,FALSE)*$C$312,0)</f>
        <v>266601</v>
      </c>
      <c r="D282" s="61">
        <f>ROUND(VLOOKUP(A282,'Contribution Allocation_Report'!$A$9:$D$311,4,FALSE)*$D$312,0)</f>
        <v>332728</v>
      </c>
      <c r="E282" s="61">
        <f>ROUND(VLOOKUP(A282,'Contribution Allocation_Report'!$A$9:$D$311,4,FALSE)*$E$312,0)</f>
        <v>389084</v>
      </c>
      <c r="J282" s="164">
        <v>32106</v>
      </c>
      <c r="K282" s="205">
        <f t="shared" si="4"/>
        <v>0</v>
      </c>
    </row>
    <row r="283" spans="1:11">
      <c r="A283" s="147">
        <v>4180</v>
      </c>
      <c r="B283" s="148" t="s">
        <v>269</v>
      </c>
      <c r="C283" s="60">
        <f>ROUND(VLOOKUP(A283,'Contribution Allocation_Report'!$A$9:$D$311,4,FALSE)*$C$312,0)</f>
        <v>261132</v>
      </c>
      <c r="D283" s="60">
        <f>ROUND(VLOOKUP(A283,'Contribution Allocation_Report'!$A$9:$D$311,4,FALSE)*$D$312,0)</f>
        <v>325901</v>
      </c>
      <c r="E283" s="60">
        <f>ROUND(VLOOKUP(A283,'Contribution Allocation_Report'!$A$9:$D$311,4,FALSE)*$E$312,0)</f>
        <v>381102</v>
      </c>
      <c r="J283" s="166">
        <v>4180</v>
      </c>
      <c r="K283" s="205">
        <f t="shared" si="4"/>
        <v>0</v>
      </c>
    </row>
    <row r="284" spans="1:11">
      <c r="A284" s="143">
        <v>21063</v>
      </c>
      <c r="B284" s="149" t="s">
        <v>270</v>
      </c>
      <c r="C284" s="61">
        <f>ROUND(VLOOKUP(A284,'Contribution Allocation_Report'!$A$9:$D$311,4,FALSE)*$C$312,0)</f>
        <v>3486951</v>
      </c>
      <c r="D284" s="61">
        <f>ROUND(VLOOKUP(A284,'Contribution Allocation_Report'!$A$9:$D$311,4,FALSE)*$D$312,0)</f>
        <v>4351833</v>
      </c>
      <c r="E284" s="61">
        <f>ROUND(VLOOKUP(A284,'Contribution Allocation_Report'!$A$9:$D$311,4,FALSE)*$E$312,0)</f>
        <v>5088939</v>
      </c>
      <c r="J284" s="164">
        <v>21063</v>
      </c>
      <c r="K284" s="205">
        <f t="shared" si="4"/>
        <v>0</v>
      </c>
    </row>
    <row r="285" spans="1:11">
      <c r="A285" s="147">
        <v>10033</v>
      </c>
      <c r="B285" s="148" t="s">
        <v>271</v>
      </c>
      <c r="C285" s="60">
        <f>ROUND(VLOOKUP(A285,'Contribution Allocation_Report'!$A$9:$D$311,4,FALSE)*$C$312,0)</f>
        <v>2412578</v>
      </c>
      <c r="D285" s="60">
        <f>ROUND(VLOOKUP(A285,'Contribution Allocation_Report'!$A$9:$D$311,4,FALSE)*$D$312,0)</f>
        <v>3010978</v>
      </c>
      <c r="E285" s="60">
        <f>ROUND(VLOOKUP(A285,'Contribution Allocation_Report'!$A$9:$D$311,4,FALSE)*$E$312,0)</f>
        <v>3520973</v>
      </c>
      <c r="J285" s="166">
        <v>10033</v>
      </c>
      <c r="K285" s="205">
        <f t="shared" si="4"/>
        <v>0</v>
      </c>
    </row>
    <row r="286" spans="1:11">
      <c r="A286" s="143">
        <v>15049</v>
      </c>
      <c r="B286" s="149" t="s">
        <v>272</v>
      </c>
      <c r="C286" s="61">
        <f>ROUND(VLOOKUP(A286,'Contribution Allocation_Report'!$A$9:$D$311,4,FALSE)*$C$312,0)</f>
        <v>2522321</v>
      </c>
      <c r="D286" s="61">
        <f>ROUND(VLOOKUP(A286,'Contribution Allocation_Report'!$A$9:$D$311,4,FALSE)*$D$312,0)</f>
        <v>3147942</v>
      </c>
      <c r="E286" s="61">
        <f>ROUND(VLOOKUP(A286,'Contribution Allocation_Report'!$A$9:$D$311,4,FALSE)*$E$312,0)</f>
        <v>3681135</v>
      </c>
      <c r="J286" s="164">
        <v>15049</v>
      </c>
      <c r="K286" s="205">
        <f t="shared" si="4"/>
        <v>0</v>
      </c>
    </row>
    <row r="287" spans="1:11">
      <c r="A287" s="147">
        <v>1315</v>
      </c>
      <c r="B287" s="148" t="s">
        <v>273</v>
      </c>
      <c r="C287" s="60">
        <f>ROUND(VLOOKUP(A287,'Contribution Allocation_Report'!$A$9:$D$311,4,FALSE)*$C$312,0)</f>
        <v>1647999</v>
      </c>
      <c r="D287" s="60">
        <f>ROUND(VLOOKUP(A287,'Contribution Allocation_Report'!$A$9:$D$311,4,FALSE)*$D$312,0)</f>
        <v>2056759</v>
      </c>
      <c r="E287" s="60">
        <f>ROUND(VLOOKUP(A287,'Contribution Allocation_Report'!$A$9:$D$311,4,FALSE)*$E$312,0)</f>
        <v>2405129</v>
      </c>
      <c r="J287" s="166">
        <v>1315</v>
      </c>
      <c r="K287" s="205">
        <f t="shared" si="4"/>
        <v>0</v>
      </c>
    </row>
    <row r="288" spans="1:11">
      <c r="A288" s="143">
        <v>3340</v>
      </c>
      <c r="B288" s="149" t="s">
        <v>274</v>
      </c>
      <c r="C288" s="61">
        <f>ROUND(VLOOKUP(A288,'Contribution Allocation_Report'!$A$9:$D$311,4,FALSE)*$C$312,0)</f>
        <v>643549</v>
      </c>
      <c r="D288" s="61">
        <f>ROUND(VLOOKUP(A288,'Contribution Allocation_Report'!$A$9:$D$311,4,FALSE)*$D$312,0)</f>
        <v>803170</v>
      </c>
      <c r="E288" s="61">
        <f>ROUND(VLOOKUP(A288,'Contribution Allocation_Report'!$A$9:$D$311,4,FALSE)*$E$312,0)</f>
        <v>939210</v>
      </c>
      <c r="J288" s="164">
        <v>3340</v>
      </c>
      <c r="K288" s="205">
        <f t="shared" si="4"/>
        <v>0</v>
      </c>
    </row>
    <row r="289" spans="1:11">
      <c r="A289" s="143">
        <v>3350</v>
      </c>
      <c r="B289" s="144" t="s">
        <v>275</v>
      </c>
      <c r="C289" s="78">
        <f>ROUND(VLOOKUP(A289,'Contribution Allocation_Report'!$A$9:$D$311,4,FALSE)*$C$312,0)</f>
        <v>3937413</v>
      </c>
      <c r="D289" s="78">
        <f>ROUND(VLOOKUP(A289,'Contribution Allocation_Report'!$A$9:$D$311,4,FALSE)*$D$312,0)</f>
        <v>4914025</v>
      </c>
      <c r="E289" s="78">
        <f>ROUND(VLOOKUP(A289,'Contribution Allocation_Report'!$A$9:$D$311,4,FALSE)*$E$312,0)</f>
        <v>5746354</v>
      </c>
      <c r="J289" s="166">
        <v>3350</v>
      </c>
      <c r="K289" s="205">
        <f t="shared" si="4"/>
        <v>0</v>
      </c>
    </row>
    <row r="290" spans="1:11">
      <c r="A290" s="147">
        <v>24073</v>
      </c>
      <c r="B290" s="148" t="s">
        <v>276</v>
      </c>
      <c r="C290" s="60">
        <f>ROUND(VLOOKUP(A290,'Contribution Allocation_Report'!$A$9:$D$311,4,FALSE)*$C$312,0)</f>
        <v>406448</v>
      </c>
      <c r="D290" s="60">
        <f>ROUND(VLOOKUP(A290,'Contribution Allocation_Report'!$A$9:$D$311,4,FALSE)*$D$312,0)</f>
        <v>507261</v>
      </c>
      <c r="E290" s="60">
        <f>ROUND(VLOOKUP(A290,'Contribution Allocation_Report'!$A$9:$D$311,4,FALSE)*$E$312,0)</f>
        <v>593180</v>
      </c>
      <c r="J290" s="164">
        <v>24073</v>
      </c>
      <c r="K290" s="205">
        <f t="shared" si="4"/>
        <v>0</v>
      </c>
    </row>
    <row r="291" spans="1:11">
      <c r="A291" s="143">
        <v>2100</v>
      </c>
      <c r="B291" s="149" t="s">
        <v>277</v>
      </c>
      <c r="C291" s="61">
        <f>ROUND(VLOOKUP(A291,'Contribution Allocation_Report'!$A$9:$D$311,4,FALSE)*$C$312,0)</f>
        <v>539931</v>
      </c>
      <c r="D291" s="61">
        <f>ROUND(VLOOKUP(A291,'Contribution Allocation_Report'!$A$9:$D$311,4,FALSE)*$D$312,0)</f>
        <v>673852</v>
      </c>
      <c r="E291" s="61">
        <f>ROUND(VLOOKUP(A291,'Contribution Allocation_Report'!$A$9:$D$311,4,FALSE)*$E$312,0)</f>
        <v>787988</v>
      </c>
      <c r="J291" s="166">
        <v>2100</v>
      </c>
      <c r="K291" s="205">
        <f t="shared" si="4"/>
        <v>0</v>
      </c>
    </row>
    <row r="292" spans="1:11">
      <c r="A292" s="147">
        <v>2130</v>
      </c>
      <c r="B292" s="148" t="s">
        <v>278</v>
      </c>
      <c r="C292" s="60">
        <f>ROUND(VLOOKUP(A292,'Contribution Allocation_Report'!$A$9:$D$311,4,FALSE)*$C$312,0)</f>
        <v>163349</v>
      </c>
      <c r="D292" s="60">
        <f>ROUND(VLOOKUP(A292,'Contribution Allocation_Report'!$A$9:$D$311,4,FALSE)*$D$312,0)</f>
        <v>203865</v>
      </c>
      <c r="E292" s="60">
        <f>ROUND(VLOOKUP(A292,'Contribution Allocation_Report'!$A$9:$D$311,4,FALSE)*$E$312,0)</f>
        <v>238395</v>
      </c>
      <c r="J292" s="164">
        <v>2130</v>
      </c>
      <c r="K292" s="205">
        <f t="shared" si="4"/>
        <v>0</v>
      </c>
    </row>
    <row r="293" spans="1:11">
      <c r="A293" s="143">
        <v>32099</v>
      </c>
      <c r="B293" s="149" t="s">
        <v>279</v>
      </c>
      <c r="C293" s="61">
        <f>ROUND(VLOOKUP(A293,'Contribution Allocation_Report'!$A$9:$D$311,4,FALSE)*$C$312,0)</f>
        <v>194910</v>
      </c>
      <c r="D293" s="61">
        <f>ROUND(VLOOKUP(A293,'Contribution Allocation_Report'!$A$9:$D$311,4,FALSE)*$D$312,0)</f>
        <v>243254</v>
      </c>
      <c r="E293" s="61">
        <f>ROUND(VLOOKUP(A293,'Contribution Allocation_Report'!$A$9:$D$311,4,FALSE)*$E$312,0)</f>
        <v>284456</v>
      </c>
      <c r="J293" s="166">
        <v>32099</v>
      </c>
      <c r="K293" s="205">
        <f t="shared" si="4"/>
        <v>0</v>
      </c>
    </row>
    <row r="294" spans="1:11">
      <c r="A294" s="147">
        <v>32100</v>
      </c>
      <c r="B294" s="148" t="s">
        <v>280</v>
      </c>
      <c r="C294" s="60">
        <f>ROUND(VLOOKUP(A294,'Contribution Allocation_Report'!$A$9:$D$311,4,FALSE)*$C$312,0)</f>
        <v>413376</v>
      </c>
      <c r="D294" s="60">
        <f>ROUND(VLOOKUP(A294,'Contribution Allocation_Report'!$A$9:$D$311,4,FALSE)*$D$312,0)</f>
        <v>515908</v>
      </c>
      <c r="E294" s="60">
        <f>ROUND(VLOOKUP(A294,'Contribution Allocation_Report'!$A$9:$D$311,4,FALSE)*$E$312,0)</f>
        <v>603291</v>
      </c>
      <c r="J294" s="164">
        <v>32100</v>
      </c>
      <c r="K294" s="205">
        <f t="shared" si="4"/>
        <v>0</v>
      </c>
    </row>
    <row r="295" spans="1:11">
      <c r="A295" s="143">
        <v>32101</v>
      </c>
      <c r="B295" s="149" t="s">
        <v>281</v>
      </c>
      <c r="C295" s="61">
        <f>ROUND(VLOOKUP(A295,'Contribution Allocation_Report'!$A$9:$D$311,4,FALSE)*$C$312,0)</f>
        <v>118095</v>
      </c>
      <c r="D295" s="61">
        <f>ROUND(VLOOKUP(A295,'Contribution Allocation_Report'!$A$9:$D$311,4,FALSE)*$D$312,0)</f>
        <v>147386</v>
      </c>
      <c r="E295" s="61">
        <f>ROUND(VLOOKUP(A295,'Contribution Allocation_Report'!$A$9:$D$311,4,FALSE)*$E$312,0)</f>
        <v>172350</v>
      </c>
      <c r="J295" s="166">
        <v>32101</v>
      </c>
      <c r="K295" s="205">
        <f t="shared" si="4"/>
        <v>0</v>
      </c>
    </row>
    <row r="296" spans="1:11">
      <c r="A296" s="147">
        <v>32102</v>
      </c>
      <c r="B296" s="148" t="s">
        <v>282</v>
      </c>
      <c r="C296" s="60">
        <f>ROUND(VLOOKUP(A296,'Contribution Allocation_Report'!$A$9:$D$311,4,FALSE)*$C$312,0)</f>
        <v>221548</v>
      </c>
      <c r="D296" s="60">
        <f>ROUND(VLOOKUP(A296,'Contribution Allocation_Report'!$A$9:$D$311,4,FALSE)*$D$312,0)</f>
        <v>276499</v>
      </c>
      <c r="E296" s="60">
        <f>ROUND(VLOOKUP(A296,'Contribution Allocation_Report'!$A$9:$D$311,4,FALSE)*$E$312,0)</f>
        <v>323332</v>
      </c>
      <c r="J296" s="164">
        <v>32102</v>
      </c>
      <c r="K296" s="205">
        <f t="shared" si="4"/>
        <v>0</v>
      </c>
    </row>
    <row r="297" spans="1:11">
      <c r="A297" s="143">
        <v>2880</v>
      </c>
      <c r="B297" s="149" t="s">
        <v>283</v>
      </c>
      <c r="C297" s="61">
        <f>ROUND(VLOOKUP(A297,'Contribution Allocation_Report'!$A$9:$D$311,4,FALSE)*$C$312,0)</f>
        <v>66678</v>
      </c>
      <c r="D297" s="61">
        <f>ROUND(VLOOKUP(A297,'Contribution Allocation_Report'!$A$9:$D$311,4,FALSE)*$D$312,0)</f>
        <v>83216</v>
      </c>
      <c r="E297" s="61">
        <f>ROUND(VLOOKUP(A297,'Contribution Allocation_Report'!$A$9:$D$311,4,FALSE)*$E$312,0)</f>
        <v>97311</v>
      </c>
      <c r="J297" s="166">
        <v>2880</v>
      </c>
      <c r="K297" s="205">
        <f t="shared" si="4"/>
        <v>0</v>
      </c>
    </row>
    <row r="298" spans="1:11">
      <c r="A298" s="147">
        <v>2490</v>
      </c>
      <c r="B298" s="148" t="s">
        <v>284</v>
      </c>
      <c r="C298" s="60">
        <f>ROUND(VLOOKUP(A298,'Contribution Allocation_Report'!$A$9:$D$311,4,FALSE)*$C$312,0)</f>
        <v>492835</v>
      </c>
      <c r="D298" s="60">
        <f>ROUND(VLOOKUP(A298,'Contribution Allocation_Report'!$A$9:$D$311,4,FALSE)*$D$312,0)</f>
        <v>615075</v>
      </c>
      <c r="E298" s="60">
        <f>ROUND(VLOOKUP(A298,'Contribution Allocation_Report'!$A$9:$D$311,4,FALSE)*$E$312,0)</f>
        <v>719255</v>
      </c>
      <c r="J298" s="164">
        <v>2490</v>
      </c>
      <c r="K298" s="205">
        <f t="shared" si="4"/>
        <v>0</v>
      </c>
    </row>
    <row r="299" spans="1:11">
      <c r="A299" s="143">
        <v>2530</v>
      </c>
      <c r="B299" s="149" t="s">
        <v>285</v>
      </c>
      <c r="C299" s="61">
        <f>ROUND(VLOOKUP(A299,'Contribution Allocation_Report'!$A$9:$D$311,4,FALSE)*$C$312,0)</f>
        <v>108376</v>
      </c>
      <c r="D299" s="61">
        <f>ROUND(VLOOKUP(A299,'Contribution Allocation_Report'!$A$9:$D$311,4,FALSE)*$D$312,0)</f>
        <v>135257</v>
      </c>
      <c r="E299" s="61">
        <f>ROUND(VLOOKUP(A299,'Contribution Allocation_Report'!$A$9:$D$311,4,FALSE)*$E$312,0)</f>
        <v>158167</v>
      </c>
      <c r="J299" s="166">
        <v>2530</v>
      </c>
      <c r="K299" s="205">
        <f t="shared" si="4"/>
        <v>0</v>
      </c>
    </row>
    <row r="300" spans="1:11">
      <c r="A300" s="147">
        <v>2560</v>
      </c>
      <c r="B300" s="148" t="s">
        <v>286</v>
      </c>
      <c r="C300" s="60">
        <f>ROUND(VLOOKUP(A300,'Contribution Allocation_Report'!$A$9:$D$311,4,FALSE)*$C$312,0)</f>
        <v>171316</v>
      </c>
      <c r="D300" s="60">
        <f>ROUND(VLOOKUP(A300,'Contribution Allocation_Report'!$A$9:$D$311,4,FALSE)*$D$312,0)</f>
        <v>213809</v>
      </c>
      <c r="E300" s="60">
        <f>ROUND(VLOOKUP(A300,'Contribution Allocation_Report'!$A$9:$D$311,4,FALSE)*$E$312,0)</f>
        <v>250023</v>
      </c>
      <c r="J300" s="164">
        <v>2560</v>
      </c>
      <c r="K300" s="205">
        <f t="shared" si="4"/>
        <v>0</v>
      </c>
    </row>
    <row r="301" spans="1:11">
      <c r="A301" s="143">
        <v>2610</v>
      </c>
      <c r="B301" s="149" t="s">
        <v>287</v>
      </c>
      <c r="C301" s="61">
        <f>ROUND(VLOOKUP(A301,'Contribution Allocation_Report'!$A$9:$D$311,4,FALSE)*$C$312,0)</f>
        <v>54753</v>
      </c>
      <c r="D301" s="61">
        <f>ROUND(VLOOKUP(A301,'Contribution Allocation_Report'!$A$9:$D$311,4,FALSE)*$D$312,0)</f>
        <v>68334</v>
      </c>
      <c r="E301" s="61">
        <f>ROUND(VLOOKUP(A301,'Contribution Allocation_Report'!$A$9:$D$311,4,FALSE)*$E$312,0)</f>
        <v>79908</v>
      </c>
      <c r="J301" s="166">
        <v>2610</v>
      </c>
      <c r="K301" s="205">
        <f t="shared" si="4"/>
        <v>0</v>
      </c>
    </row>
    <row r="302" spans="1:11">
      <c r="A302" s="147">
        <v>2800</v>
      </c>
      <c r="B302" s="148" t="s">
        <v>288</v>
      </c>
      <c r="C302" s="60">
        <f>ROUND(VLOOKUP(A302,'Contribution Allocation_Report'!$A$9:$D$311,4,FALSE)*$C$312,0)</f>
        <v>169347</v>
      </c>
      <c r="D302" s="60">
        <f>ROUND(VLOOKUP(A302,'Contribution Allocation_Report'!$A$9:$D$311,4,FALSE)*$D$312,0)</f>
        <v>211351</v>
      </c>
      <c r="E302" s="60">
        <f>ROUND(VLOOKUP(A302,'Contribution Allocation_Report'!$A$9:$D$311,4,FALSE)*$E$312,0)</f>
        <v>247149</v>
      </c>
      <c r="J302" s="164">
        <v>2800</v>
      </c>
      <c r="K302" s="205">
        <f t="shared" si="4"/>
        <v>0</v>
      </c>
    </row>
    <row r="303" spans="1:11">
      <c r="A303" s="143">
        <v>20317</v>
      </c>
      <c r="B303" s="149" t="s">
        <v>289</v>
      </c>
      <c r="C303" s="61">
        <f>ROUND(VLOOKUP(A303,'Contribution Allocation_Report'!$A$9:$D$311,4,FALSE)*$C$312,0)</f>
        <v>340846</v>
      </c>
      <c r="D303" s="61">
        <f>ROUND(VLOOKUP(A303,'Contribution Allocation_Report'!$A$9:$D$311,4,FALSE)*$D$312,0)</f>
        <v>425387</v>
      </c>
      <c r="E303" s="61">
        <f>ROUND(VLOOKUP(A303,'Contribution Allocation_Report'!$A$9:$D$311,4,FALSE)*$E$312,0)</f>
        <v>497438</v>
      </c>
      <c r="J303" s="166">
        <v>20317</v>
      </c>
      <c r="K303" s="205">
        <f t="shared" si="4"/>
        <v>0</v>
      </c>
    </row>
    <row r="304" spans="1:11">
      <c r="A304" s="147">
        <v>2442</v>
      </c>
      <c r="B304" s="148" t="s">
        <v>444</v>
      </c>
      <c r="C304" s="60">
        <f>ROUND(VLOOKUP(A304,'Contribution Allocation_Report'!$A$9:$D$311,4,FALSE)*$C$312,0)</f>
        <v>107611</v>
      </c>
      <c r="D304" s="60">
        <f>ROUND(VLOOKUP(A304,'Contribution Allocation_Report'!$A$9:$D$311,4,FALSE)*$D$312,0)</f>
        <v>134302</v>
      </c>
      <c r="E304" s="60">
        <f>ROUND(VLOOKUP(A304,'Contribution Allocation_Report'!$A$9:$D$311,4,FALSE)*$E$312,0)</f>
        <v>157049</v>
      </c>
      <c r="J304" s="164">
        <v>2442</v>
      </c>
      <c r="K304" s="205">
        <f t="shared" si="4"/>
        <v>0</v>
      </c>
    </row>
    <row r="305" spans="1:11">
      <c r="A305" s="143">
        <v>30090</v>
      </c>
      <c r="B305" s="149" t="s">
        <v>290</v>
      </c>
      <c r="C305" s="61">
        <f>ROUND(VLOOKUP(A305,'Contribution Allocation_Report'!$A$9:$D$311,4,FALSE)*$C$312,0)</f>
        <v>503028</v>
      </c>
      <c r="D305" s="61">
        <f>ROUND(VLOOKUP(A305,'Contribution Allocation_Report'!$A$9:$D$311,4,FALSE)*$D$312,0)</f>
        <v>627795</v>
      </c>
      <c r="E305" s="61">
        <f>ROUND(VLOOKUP(A305,'Contribution Allocation_Report'!$A$9:$D$311,4,FALSE)*$E$312,0)</f>
        <v>734130</v>
      </c>
      <c r="J305" s="166">
        <v>30090</v>
      </c>
      <c r="K305" s="205">
        <f t="shared" si="4"/>
        <v>0</v>
      </c>
    </row>
    <row r="306" spans="1:11">
      <c r="A306" s="147">
        <v>29330</v>
      </c>
      <c r="B306" s="148" t="s">
        <v>291</v>
      </c>
      <c r="C306" s="60">
        <f>ROUND(VLOOKUP(A306,'Contribution Allocation_Report'!$A$9:$D$311,4,FALSE)*$C$312,0)</f>
        <v>215440</v>
      </c>
      <c r="D306" s="60">
        <f>ROUND(VLOOKUP(A306,'Contribution Allocation_Report'!$A$9:$D$311,4,FALSE)*$D$312,0)</f>
        <v>268876</v>
      </c>
      <c r="E306" s="60">
        <f>ROUND(VLOOKUP(A306,'Contribution Allocation_Report'!$A$9:$D$311,4,FALSE)*$E$312,0)</f>
        <v>314418</v>
      </c>
      <c r="J306" s="164">
        <v>29330</v>
      </c>
      <c r="K306" s="205">
        <f t="shared" si="4"/>
        <v>0</v>
      </c>
    </row>
    <row r="307" spans="1:11">
      <c r="A307" s="143">
        <v>12038</v>
      </c>
      <c r="B307" s="149" t="s">
        <v>292</v>
      </c>
      <c r="C307" s="61">
        <f>ROUND(VLOOKUP(A307,'Contribution Allocation_Report'!$A$9:$D$311,4,FALSE)*$C$312,0)</f>
        <v>4646199</v>
      </c>
      <c r="D307" s="61">
        <f>ROUND(VLOOKUP(A307,'Contribution Allocation_Report'!$A$9:$D$311,4,FALSE)*$D$312,0)</f>
        <v>5798614</v>
      </c>
      <c r="E307" s="61">
        <f>ROUND(VLOOKUP(A307,'Contribution Allocation_Report'!$A$9:$D$311,4,FALSE)*$E$312,0)</f>
        <v>6780773</v>
      </c>
      <c r="J307" s="166">
        <v>12038</v>
      </c>
      <c r="K307" s="205">
        <f t="shared" si="4"/>
        <v>0</v>
      </c>
    </row>
    <row r="308" spans="1:11">
      <c r="A308" s="147">
        <v>8099</v>
      </c>
      <c r="B308" s="148" t="s">
        <v>293</v>
      </c>
      <c r="C308" s="60">
        <f>ROUND(VLOOKUP(A308,'Contribution Allocation_Report'!$A$9:$D$311,4,FALSE)*$C$312,0)</f>
        <v>7667099</v>
      </c>
      <c r="D308" s="60">
        <f>ROUND(VLOOKUP(A308,'Contribution Allocation_Report'!$A$9:$D$311,4,FALSE)*$D$312,0)</f>
        <v>9568799</v>
      </c>
      <c r="E308" s="60">
        <f>ROUND(VLOOKUP(A308,'Contribution Allocation_Report'!$A$9:$D$311,4,FALSE)*$E$312,0)</f>
        <v>11189545</v>
      </c>
      <c r="J308" s="164">
        <v>8099</v>
      </c>
      <c r="K308" s="205">
        <f t="shared" si="4"/>
        <v>0</v>
      </c>
    </row>
    <row r="309" spans="1:11">
      <c r="A309" s="143">
        <v>2417</v>
      </c>
      <c r="B309" s="149" t="s">
        <v>294</v>
      </c>
      <c r="C309" s="61">
        <f>ROUND(VLOOKUP(A309,'Contribution Allocation_Report'!$A$9:$D$311,4,FALSE)*$C$312,0)</f>
        <v>162109</v>
      </c>
      <c r="D309" s="61">
        <f>ROUND(VLOOKUP(A309,'Contribution Allocation_Report'!$A$9:$D$311,4,FALSE)*$D$312,0)</f>
        <v>202317</v>
      </c>
      <c r="E309" s="61">
        <f>ROUND(VLOOKUP(A309,'Contribution Allocation_Report'!$A$9:$D$311,4,FALSE)*$E$312,0)</f>
        <v>236585</v>
      </c>
      <c r="J309" s="166">
        <v>2417</v>
      </c>
      <c r="K309" s="205">
        <f t="shared" si="4"/>
        <v>0</v>
      </c>
    </row>
    <row r="310" spans="1:11">
      <c r="A310" s="147">
        <v>13142</v>
      </c>
      <c r="B310" s="148" t="s">
        <v>295</v>
      </c>
      <c r="C310" s="51">
        <f>ROUND(VLOOKUP(A310,'Contribution Allocation_Report'!$A$9:$D$311,4,FALSE)*$C$312,0)</f>
        <v>4841820</v>
      </c>
      <c r="D310" s="51">
        <f>ROUND(VLOOKUP(A310,'Contribution Allocation_Report'!$A$9:$D$311,4,FALSE)*$D$312,0)</f>
        <v>6042755</v>
      </c>
      <c r="E310" s="51">
        <f>ROUND(VLOOKUP(A310,'Contribution Allocation_Report'!$A$9:$D$311,4,FALSE)*$E$312,0)</f>
        <v>7066266</v>
      </c>
      <c r="J310" s="164">
        <v>13142</v>
      </c>
      <c r="K310" s="205">
        <f t="shared" si="4"/>
        <v>0</v>
      </c>
    </row>
    <row r="311" spans="1:11">
      <c r="A311" s="188"/>
      <c r="B311" s="177"/>
      <c r="C311" s="195"/>
      <c r="D311" s="1"/>
      <c r="E311" s="177"/>
    </row>
    <row r="312" spans="1:11" ht="15.75" thickBot="1">
      <c r="A312" s="188"/>
      <c r="B312" s="197"/>
      <c r="C312" s="133">
        <v>1852195881</v>
      </c>
      <c r="D312" s="133">
        <v>2311603052</v>
      </c>
      <c r="E312" s="133">
        <v>2703138257</v>
      </c>
      <c r="J312" s="164"/>
      <c r="K312" s="205"/>
    </row>
    <row r="313" spans="1:11" ht="15.75" thickTop="1">
      <c r="B313" s="197"/>
      <c r="C313" s="8"/>
      <c r="D313" s="8"/>
      <c r="E313" s="8"/>
      <c r="J313" s="166"/>
      <c r="K313" s="205"/>
    </row>
    <row r="314" spans="1:11">
      <c r="A314" s="188"/>
      <c r="B314" s="197"/>
      <c r="C314" s="8"/>
      <c r="D314" s="8"/>
      <c r="E314" s="8"/>
      <c r="J314" s="164"/>
      <c r="K314" s="205"/>
    </row>
    <row r="315" spans="1:11">
      <c r="C315" s="206"/>
      <c r="D315" s="206"/>
      <c r="E315" s="206"/>
      <c r="J315" s="166"/>
      <c r="K315" s="205"/>
    </row>
    <row r="316" spans="1:11">
      <c r="C316" s="207"/>
      <c r="D316" s="207"/>
      <c r="E316" s="207"/>
      <c r="J316" s="164"/>
      <c r="K316" s="205"/>
    </row>
    <row r="317" spans="1:11">
      <c r="C317" s="69">
        <f>+SUM(C8:C310)-C312</f>
        <v>0</v>
      </c>
      <c r="D317" s="69">
        <f>+SUM(D8:D310)-D312</f>
        <v>0</v>
      </c>
      <c r="E317" s="69">
        <f>+SUM(E8:E310)-E312</f>
        <v>0</v>
      </c>
      <c r="J317" s="166"/>
      <c r="K317" s="205"/>
    </row>
    <row r="318" spans="1:11">
      <c r="J318" s="164"/>
      <c r="K318" s="205"/>
    </row>
    <row r="319" spans="1:11">
      <c r="J319" s="166"/>
      <c r="K319" s="205"/>
    </row>
    <row r="320" spans="1:11">
      <c r="J320" s="164"/>
      <c r="K320" s="205"/>
    </row>
    <row r="321" spans="10:11">
      <c r="J321" s="164"/>
      <c r="K321" s="205"/>
    </row>
    <row r="323" spans="10:11">
      <c r="K323" s="205">
        <f t="shared" ref="K323" si="5">+A323-J323</f>
        <v>0</v>
      </c>
    </row>
  </sheetData>
  <mergeCells count="3">
    <mergeCell ref="A1:E1"/>
    <mergeCell ref="A2:E2"/>
    <mergeCell ref="A3:E3"/>
  </mergeCells>
  <printOptions horizontalCentered="1"/>
  <pageMargins left="0.7" right="0.7" top="0.5" bottom="0.5" header="0.5" footer="0.45"/>
  <pageSetup scale="55" firstPageNumber="34" fitToHeight="0" orientation="portrait" useFirstPageNumber="1" r:id="rId1"/>
  <headerFooter scaleWithDoc="0">
    <oddFooter>&amp;C&amp;"Arial,Regular"&amp;10&amp;P</oddFooter>
    <evenFooter>&amp;R&amp;"Arial,Regular"&amp;10&amp;P</evenFooter>
  </headerFooter>
  <rowBreaks count="4" manualBreakCount="4">
    <brk id="78" max="4" man="1"/>
    <brk id="148" max="4" man="1"/>
    <brk id="217" max="4" man="1"/>
    <brk id="288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E98C-6474-47DF-816A-0A0A5E30C63A}">
  <sheetPr>
    <tabColor rgb="FFFF0000"/>
    <pageSetUpPr fitToPage="1"/>
  </sheetPr>
  <dimension ref="A1:AG329"/>
  <sheetViews>
    <sheetView view="pageBreakPreview" zoomScale="90" zoomScaleNormal="100" zoomScaleSheetLayoutView="90" workbookViewId="0">
      <pane ySplit="5" topLeftCell="A284" activePane="bottomLeft" state="frozen"/>
      <selection activeCell="A234" sqref="A234:XFD234"/>
      <selection pane="bottomLeft" activeCell="A234" sqref="A234:XFD234"/>
    </sheetView>
  </sheetViews>
  <sheetFormatPr defaultColWidth="9.28515625" defaultRowHeight="12.75"/>
  <cols>
    <col min="1" max="1" width="12.28515625" style="53" customWidth="1"/>
    <col min="2" max="2" width="64.42578125" style="53" bestFit="1" customWidth="1"/>
    <col min="3" max="14" width="12.7109375" style="53" customWidth="1"/>
    <col min="15" max="19" width="10.7109375" style="53" customWidth="1"/>
    <col min="20" max="22" width="11.42578125" style="53" bestFit="1" customWidth="1"/>
    <col min="23" max="23" width="9.28515625" style="53"/>
    <col min="24" max="25" width="11.28515625" style="53" bestFit="1" customWidth="1"/>
    <col min="26" max="26" width="9.28515625" style="53"/>
    <col min="27" max="27" width="11" style="53" bestFit="1" customWidth="1"/>
    <col min="28" max="28" width="9.28515625" style="53"/>
    <col min="29" max="29" width="14.28515625" style="53" customWidth="1"/>
    <col min="30" max="30" width="13.7109375" style="53" bestFit="1" customWidth="1"/>
    <col min="31" max="31" width="9.28515625" style="53"/>
    <col min="32" max="32" width="14.7109375" style="53" customWidth="1"/>
    <col min="33" max="33" width="12.5703125" style="53" bestFit="1" customWidth="1"/>
    <col min="34" max="16384" width="9.28515625" style="53"/>
  </cols>
  <sheetData>
    <row r="1" spans="1:33">
      <c r="A1" s="53">
        <v>1</v>
      </c>
      <c r="B1" s="53">
        <v>2</v>
      </c>
      <c r="C1" s="53">
        <v>3</v>
      </c>
      <c r="D1" s="53">
        <v>4</v>
      </c>
      <c r="E1" s="53">
        <v>5</v>
      </c>
      <c r="F1" s="53">
        <v>6</v>
      </c>
      <c r="G1" s="53">
        <v>7</v>
      </c>
      <c r="H1" s="53">
        <v>8</v>
      </c>
      <c r="I1" s="53">
        <v>9</v>
      </c>
      <c r="J1" s="53">
        <v>10</v>
      </c>
      <c r="K1" s="53">
        <v>11</v>
      </c>
      <c r="L1" s="53">
        <v>12</v>
      </c>
      <c r="M1" s="53">
        <v>13</v>
      </c>
      <c r="N1" s="53">
        <v>14</v>
      </c>
      <c r="O1" s="53">
        <v>15</v>
      </c>
      <c r="P1" s="53">
        <v>16</v>
      </c>
      <c r="Q1" s="53">
        <v>17</v>
      </c>
      <c r="R1" s="53">
        <v>18</v>
      </c>
      <c r="S1" s="53">
        <v>19</v>
      </c>
      <c r="T1" s="53">
        <v>20</v>
      </c>
      <c r="U1" s="53">
        <v>21</v>
      </c>
      <c r="V1" s="53">
        <v>22</v>
      </c>
      <c r="W1" s="53">
        <v>23</v>
      </c>
      <c r="X1" s="53">
        <v>24</v>
      </c>
      <c r="Y1" s="53">
        <v>25</v>
      </c>
    </row>
    <row r="2" spans="1:33">
      <c r="C2" s="264" t="s">
        <v>561</v>
      </c>
      <c r="D2" s="264"/>
      <c r="E2" s="264"/>
      <c r="F2" s="264"/>
      <c r="G2" s="264"/>
      <c r="I2" s="264" t="s">
        <v>448</v>
      </c>
      <c r="J2" s="264"/>
      <c r="K2" s="264"/>
      <c r="L2" s="264"/>
      <c r="M2" s="264"/>
      <c r="O2" s="264"/>
      <c r="P2" s="264"/>
      <c r="Q2" s="264"/>
      <c r="R2" s="264"/>
      <c r="T2" s="264"/>
      <c r="U2" s="264"/>
      <c r="V2" s="264"/>
      <c r="X2" s="264"/>
      <c r="Y2" s="264"/>
    </row>
    <row r="3" spans="1:33">
      <c r="C3" s="264" t="s">
        <v>315</v>
      </c>
      <c r="D3" s="264"/>
      <c r="E3" s="264"/>
      <c r="F3" s="264"/>
      <c r="G3" s="264"/>
      <c r="I3" s="264" t="s">
        <v>315</v>
      </c>
      <c r="J3" s="264"/>
      <c r="K3" s="264"/>
      <c r="L3" s="264"/>
      <c r="M3" s="264"/>
      <c r="O3" s="264"/>
      <c r="P3" s="264"/>
      <c r="Q3" s="264"/>
      <c r="R3" s="264"/>
      <c r="T3" s="264"/>
      <c r="U3" s="264"/>
      <c r="V3" s="264"/>
      <c r="X3" s="264"/>
      <c r="Y3" s="264"/>
      <c r="AA3" s="83" t="s">
        <v>562</v>
      </c>
      <c r="AC3" s="263" t="s">
        <v>563</v>
      </c>
      <c r="AD3" s="263"/>
    </row>
    <row r="4" spans="1:33">
      <c r="C4" s="134" t="s">
        <v>430</v>
      </c>
      <c r="E4" s="134"/>
      <c r="F4" s="134"/>
      <c r="G4" s="134"/>
      <c r="I4" s="134" t="s">
        <v>429</v>
      </c>
      <c r="J4" s="208" t="s">
        <v>430</v>
      </c>
      <c r="L4" s="134"/>
      <c r="M4" s="134"/>
      <c r="O4" s="134" t="s">
        <v>429</v>
      </c>
      <c r="P4" s="208" t="s">
        <v>430</v>
      </c>
      <c r="Q4" s="134"/>
      <c r="R4" s="134"/>
      <c r="T4" s="134" t="s">
        <v>429</v>
      </c>
      <c r="U4" s="208" t="s">
        <v>430</v>
      </c>
      <c r="V4" s="134"/>
      <c r="X4" s="134" t="s">
        <v>429</v>
      </c>
      <c r="Y4" s="208" t="s">
        <v>430</v>
      </c>
      <c r="AA4" s="83"/>
      <c r="AC4" s="135"/>
      <c r="AD4" s="135"/>
    </row>
    <row r="5" spans="1:33" ht="25.5">
      <c r="A5" s="139" t="s">
        <v>0</v>
      </c>
      <c r="B5" s="140" t="s">
        <v>1</v>
      </c>
      <c r="C5" s="41">
        <v>2024</v>
      </c>
      <c r="D5" s="41">
        <v>2025</v>
      </c>
      <c r="E5" s="41">
        <v>2026</v>
      </c>
      <c r="F5" s="41">
        <v>2027</v>
      </c>
      <c r="G5" s="41">
        <v>2028</v>
      </c>
      <c r="H5" s="140"/>
      <c r="I5" s="41">
        <v>2023</v>
      </c>
      <c r="J5" s="41">
        <v>2024</v>
      </c>
      <c r="K5" s="41">
        <v>2025</v>
      </c>
      <c r="L5" s="41">
        <v>2026</v>
      </c>
      <c r="M5" s="41">
        <v>2027</v>
      </c>
      <c r="N5" s="140"/>
      <c r="O5" s="41">
        <v>2023</v>
      </c>
      <c r="P5" s="41">
        <v>2024</v>
      </c>
      <c r="Q5" s="41">
        <v>2025</v>
      </c>
      <c r="R5" s="41">
        <v>2026</v>
      </c>
      <c r="S5" s="140"/>
      <c r="T5" s="41">
        <v>2023</v>
      </c>
      <c r="U5" s="41">
        <v>2024</v>
      </c>
      <c r="V5" s="41">
        <v>2025</v>
      </c>
      <c r="X5" s="41">
        <v>2023</v>
      </c>
      <c r="Y5" s="41">
        <v>2024</v>
      </c>
      <c r="AA5" s="53">
        <v>2023</v>
      </c>
      <c r="AC5" s="53" t="s">
        <v>371</v>
      </c>
      <c r="AD5" s="53" t="s">
        <v>370</v>
      </c>
    </row>
    <row r="6" spans="1:33">
      <c r="A6" s="141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S6" s="142"/>
    </row>
    <row r="7" spans="1:33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S7" s="142"/>
    </row>
    <row r="8" spans="1:33">
      <c r="A8" s="164">
        <v>1341</v>
      </c>
      <c r="B8" s="165" t="s">
        <v>5</v>
      </c>
      <c r="C8" s="123">
        <f>VLOOKUP($A8,'Change in Proportion Calc'!$A$5:$P$319,12,FALSE)</f>
        <v>-1805036</v>
      </c>
      <c r="D8" s="123">
        <f>VLOOKUP($A8,'Change in Proportion Calc'!$A$5:$P$319,13,FALSE)</f>
        <v>-1805036</v>
      </c>
      <c r="E8" s="123">
        <f>VLOOKUP($A8,'Change in Proportion Calc'!$A$5:$P$319,13,FALSE)</f>
        <v>-1805036</v>
      </c>
      <c r="F8" s="123">
        <f>VLOOKUP($A8,'Change in Proportion Calc'!$A$5:$P$319,13,FALSE)</f>
        <v>-1805036</v>
      </c>
      <c r="G8" s="123">
        <f>VLOOKUP($A8,'Change in Proportion Calc'!$A$5:$P$319,16,FALSE)</f>
        <v>-1606455</v>
      </c>
      <c r="H8" s="167"/>
      <c r="I8" s="123">
        <v>775058</v>
      </c>
      <c r="J8" s="123">
        <v>775058</v>
      </c>
      <c r="K8" s="123">
        <v>775058</v>
      </c>
      <c r="L8" s="123">
        <v>775058</v>
      </c>
      <c r="M8" s="123">
        <v>759603</v>
      </c>
      <c r="N8" s="167"/>
      <c r="O8" s="84">
        <v>-1730430</v>
      </c>
      <c r="P8" s="84">
        <v>-1730430</v>
      </c>
      <c r="Q8" s="84">
        <v>-1730430</v>
      </c>
      <c r="R8" s="85">
        <v>-1695839</v>
      </c>
      <c r="S8" s="167"/>
      <c r="T8" s="84">
        <v>956425</v>
      </c>
      <c r="U8" s="84">
        <v>956425</v>
      </c>
      <c r="V8" s="85">
        <v>612065</v>
      </c>
      <c r="X8" s="84">
        <v>78375</v>
      </c>
      <c r="Y8" s="84">
        <v>56402</v>
      </c>
      <c r="AA8" s="85">
        <f>VLOOKUP(A8,'Change in Proportion Calc'!$A$5:$H$319,8,FALSE)+I8+O8+T8+X8</f>
        <v>-1725602</v>
      </c>
      <c r="AC8" s="84">
        <f>IF(SUM(C8:G8)&gt;0,SUM(C8:G8),0)+IF(SUM(J8:M8)&gt;0,SUM(J8:M8),0)+IF(SUM(P8:R8)&gt;0,SUM(P8:R8),0)+IF(SUM(U8:V8)&gt;0,SUM(U8:V8),0)+IF(SUM(Y8)&gt;0,SUM(Y8),0)</f>
        <v>4709669</v>
      </c>
      <c r="AD8" s="84">
        <f>IF(SUM(C8:G8)&lt;0,-SUM(C8:G8),0)+IF(SUM(J8:M8)&lt;0,-SUM(J8:M8),0)+IF(SUM(P8:R8)&lt;0,-SUM(P8:R8),0)+IF(SUM(U8:V8)&lt;0,-SUM(U8:V8),0)+IF(SUM(Y8)&lt;0,-SUM(Y8),0)</f>
        <v>13983298</v>
      </c>
      <c r="AE8" s="85"/>
      <c r="AF8" s="84">
        <f>VLOOKUP(A8,'OPEB Amounts_Report'!$A$10:$G$324,6,FALSE)</f>
        <v>117793170</v>
      </c>
      <c r="AG8" s="85">
        <f>+AC8-AF8</f>
        <v>-113083501</v>
      </c>
    </row>
    <row r="9" spans="1:33">
      <c r="A9" s="166">
        <v>2308</v>
      </c>
      <c r="B9" s="167" t="s">
        <v>6</v>
      </c>
      <c r="C9" s="123">
        <f>VLOOKUP($A9,'Change in Proportion Calc'!$A$5:$P$319,12,FALSE)</f>
        <v>56372</v>
      </c>
      <c r="D9" s="123">
        <f>VLOOKUP($A9,'Change in Proportion Calc'!$A$5:$P$319,13,FALSE)</f>
        <v>56372</v>
      </c>
      <c r="E9" s="123">
        <f>VLOOKUP($A9,'Change in Proportion Calc'!$A$5:$P$319,13,FALSE)</f>
        <v>56372</v>
      </c>
      <c r="F9" s="123">
        <f>VLOOKUP($A9,'Change in Proportion Calc'!$A$5:$P$319,13,FALSE)</f>
        <v>56372</v>
      </c>
      <c r="G9" s="123">
        <f>VLOOKUP($A9,'Change in Proportion Calc'!$A$5:$P$319,16,FALSE)</f>
        <v>50173</v>
      </c>
      <c r="H9" s="167"/>
      <c r="I9" s="123">
        <v>60256</v>
      </c>
      <c r="J9" s="123">
        <v>60256</v>
      </c>
      <c r="K9" s="123">
        <v>60256</v>
      </c>
      <c r="L9" s="123">
        <v>60256</v>
      </c>
      <c r="M9" s="123">
        <v>59052</v>
      </c>
      <c r="N9" s="167"/>
      <c r="O9" s="84">
        <v>-5496</v>
      </c>
      <c r="P9" s="84">
        <v>-5496</v>
      </c>
      <c r="Q9" s="84">
        <v>-5496</v>
      </c>
      <c r="R9" s="85">
        <v>-5384</v>
      </c>
      <c r="S9" s="167"/>
      <c r="T9" s="84">
        <v>39293</v>
      </c>
      <c r="U9" s="84">
        <v>39293</v>
      </c>
      <c r="V9" s="85">
        <v>25147</v>
      </c>
      <c r="X9" s="84">
        <v>-6225</v>
      </c>
      <c r="Y9" s="84">
        <v>-4480</v>
      </c>
      <c r="AA9" s="85">
        <f>VLOOKUP(A9,'Change in Proportion Calc'!$A$5:$H$319,8,FALSE)+I9+O9+T9+X9</f>
        <v>144200</v>
      </c>
      <c r="AC9" s="84">
        <f>IF(SUM(C9:G9)&gt;0,SUM(C9:G9),0)+IF(SUM(J9:M9)&gt;0,SUM(J9:M9),0)+IF(SUM(P9:R9)&gt;0,SUM(P9:R9),0)+IF(SUM(U9:V9)&gt;0,SUM(U9:V9),0)+IF(SUM(Y9)&gt;0,SUM(Y9),0)</f>
        <v>579921</v>
      </c>
      <c r="AD9" s="84">
        <f t="shared" ref="AD9:AD72" si="0">IF(SUM(C9:G9)&lt;0,-SUM(C9:G9),0)+IF(SUM(J9:M9)&lt;0,-SUM(J9:M9),0)+IF(SUM(P9:R9)&lt;0,-SUM(P9:R9),0)+IF(SUM(U9:V9)&lt;0,-SUM(U9:V9),0)+IF(SUM(Y9)&lt;0,-SUM(Y9),0)</f>
        <v>20856</v>
      </c>
      <c r="AF9" s="84">
        <f>VLOOKUP(A9,'OPEB Amounts_Report'!$A$10:$G$324,6,FALSE)</f>
        <v>222845</v>
      </c>
      <c r="AG9" s="85">
        <f t="shared" ref="AG9:AG72" si="1">+AC9-AF9</f>
        <v>357076</v>
      </c>
    </row>
    <row r="10" spans="1:33">
      <c r="A10" s="164">
        <v>2340</v>
      </c>
      <c r="B10" s="168" t="s">
        <v>7</v>
      </c>
      <c r="C10" s="123">
        <f>VLOOKUP($A10,'Change in Proportion Calc'!$A$5:$P$319,12,FALSE)</f>
        <v>-3382</v>
      </c>
      <c r="D10" s="123">
        <f>VLOOKUP($A10,'Change in Proportion Calc'!$A$5:$P$319,13,FALSE)</f>
        <v>-3382</v>
      </c>
      <c r="E10" s="123">
        <f>VLOOKUP($A10,'Change in Proportion Calc'!$A$5:$P$319,13,FALSE)</f>
        <v>-3382</v>
      </c>
      <c r="F10" s="123">
        <f>VLOOKUP($A10,'Change in Proportion Calc'!$A$5:$P$319,13,FALSE)</f>
        <v>-3382</v>
      </c>
      <c r="G10" s="123">
        <f>VLOOKUP($A10,'Change in Proportion Calc'!$A$5:$P$319,16,FALSE)</f>
        <v>-3011</v>
      </c>
      <c r="H10" s="167"/>
      <c r="I10" s="123">
        <v>8666</v>
      </c>
      <c r="J10" s="123">
        <v>8666</v>
      </c>
      <c r="K10" s="123">
        <v>8666</v>
      </c>
      <c r="L10" s="123">
        <v>8666</v>
      </c>
      <c r="M10" s="123">
        <v>8492</v>
      </c>
      <c r="N10" s="167"/>
      <c r="O10" s="84">
        <v>-10734</v>
      </c>
      <c r="P10" s="84">
        <v>-10734</v>
      </c>
      <c r="Q10" s="84">
        <v>-10734</v>
      </c>
      <c r="R10" s="85">
        <v>-10517</v>
      </c>
      <c r="S10" s="167"/>
      <c r="T10" s="84">
        <v>-6986</v>
      </c>
      <c r="U10" s="84">
        <v>-6986</v>
      </c>
      <c r="V10" s="85">
        <v>-4469</v>
      </c>
      <c r="X10" s="84">
        <v>2723</v>
      </c>
      <c r="Y10" s="84">
        <v>1962</v>
      </c>
      <c r="AA10" s="85">
        <f>VLOOKUP(A10,'Change in Proportion Calc'!$A$5:$H$319,8,FALSE)+I10+O10+T10+X10</f>
        <v>-9713</v>
      </c>
      <c r="AC10" s="84">
        <f t="shared" ref="AC10:AC72" si="2">IF(SUM(C10:G10)&gt;0,SUM(C10:G10),0)+IF(SUM(J10:M10)&gt;0,SUM(J10:M10),0)+IF(SUM(P10:R10)&gt;0,SUM(P10:R10),0)+IF(SUM(U10:V10)&gt;0,SUM(U10:V10),0)+IF(SUM(Y10)&gt;0,SUM(Y10),0)</f>
        <v>36452</v>
      </c>
      <c r="AD10" s="84">
        <f t="shared" si="0"/>
        <v>59979</v>
      </c>
      <c r="AF10" s="84">
        <f>VLOOKUP(A10,'OPEB Amounts_Report'!$A$10:$G$324,6,FALSE)</f>
        <v>197427</v>
      </c>
      <c r="AG10" s="85">
        <f t="shared" si="1"/>
        <v>-160975</v>
      </c>
    </row>
    <row r="11" spans="1:33">
      <c r="A11" s="166">
        <v>1301</v>
      </c>
      <c r="B11" s="167" t="s">
        <v>8</v>
      </c>
      <c r="C11" s="123">
        <f>VLOOKUP($A11,'Change in Proportion Calc'!$A$5:$P$319,12,FALSE)</f>
        <v>-6884</v>
      </c>
      <c r="D11" s="123">
        <f>VLOOKUP($A11,'Change in Proportion Calc'!$A$5:$P$319,13,FALSE)</f>
        <v>-6884</v>
      </c>
      <c r="E11" s="123">
        <f>VLOOKUP($A11,'Change in Proportion Calc'!$A$5:$P$319,13,FALSE)</f>
        <v>-6884</v>
      </c>
      <c r="F11" s="123">
        <f>VLOOKUP($A11,'Change in Proportion Calc'!$A$5:$P$319,13,FALSE)</f>
        <v>-6884</v>
      </c>
      <c r="G11" s="123">
        <f>VLOOKUP($A11,'Change in Proportion Calc'!$A$5:$P$319,16,FALSE)</f>
        <v>-6127</v>
      </c>
      <c r="H11" s="167"/>
      <c r="I11" s="123">
        <v>35635</v>
      </c>
      <c r="J11" s="123">
        <v>35635</v>
      </c>
      <c r="K11" s="123">
        <v>35635</v>
      </c>
      <c r="L11" s="123">
        <v>35635</v>
      </c>
      <c r="M11" s="123">
        <v>34924</v>
      </c>
      <c r="N11" s="167"/>
      <c r="O11" s="84">
        <v>10991</v>
      </c>
      <c r="P11" s="84">
        <v>10991</v>
      </c>
      <c r="Q11" s="84">
        <v>10991</v>
      </c>
      <c r="R11" s="85">
        <v>10773</v>
      </c>
      <c r="S11" s="167"/>
      <c r="T11" s="84">
        <v>25322</v>
      </c>
      <c r="U11" s="84">
        <v>25322</v>
      </c>
      <c r="V11" s="85">
        <v>16206</v>
      </c>
      <c r="X11" s="84">
        <v>-15561</v>
      </c>
      <c r="Y11" s="84">
        <v>-11204</v>
      </c>
      <c r="AA11" s="85">
        <f>VLOOKUP(A11,'Change in Proportion Calc'!$A$5:$H$319,8,FALSE)+I11+O11+T11+X11</f>
        <v>49503</v>
      </c>
      <c r="AC11" s="84">
        <f t="shared" si="2"/>
        <v>216112</v>
      </c>
      <c r="AD11" s="84">
        <f t="shared" si="0"/>
        <v>44867</v>
      </c>
      <c r="AF11" s="84">
        <f>VLOOKUP(A11,'OPEB Amounts_Report'!$A$10:$G$324,6,FALSE)</f>
        <v>231216</v>
      </c>
      <c r="AG11" s="85">
        <f t="shared" si="1"/>
        <v>-15104</v>
      </c>
    </row>
    <row r="12" spans="1:33">
      <c r="A12" s="164">
        <v>2390</v>
      </c>
      <c r="B12" s="168" t="s">
        <v>9</v>
      </c>
      <c r="C12" s="123">
        <f>VLOOKUP($A12,'Change in Proportion Calc'!$A$5:$P$319,12,FALSE)</f>
        <v>1433</v>
      </c>
      <c r="D12" s="123">
        <f>VLOOKUP($A12,'Change in Proportion Calc'!$A$5:$P$319,13,FALSE)</f>
        <v>1433</v>
      </c>
      <c r="E12" s="123">
        <f>VLOOKUP($A12,'Change in Proportion Calc'!$A$5:$P$319,13,FALSE)</f>
        <v>1433</v>
      </c>
      <c r="F12" s="123">
        <f>VLOOKUP($A12,'Change in Proportion Calc'!$A$5:$P$319,13,FALSE)</f>
        <v>1433</v>
      </c>
      <c r="G12" s="123">
        <f>VLOOKUP($A12,'Change in Proportion Calc'!$A$5:$P$319,16,FALSE)</f>
        <v>1273</v>
      </c>
      <c r="H12" s="167"/>
      <c r="I12" s="123">
        <v>18142</v>
      </c>
      <c r="J12" s="123">
        <v>18142</v>
      </c>
      <c r="K12" s="123">
        <v>18142</v>
      </c>
      <c r="L12" s="123">
        <v>18142</v>
      </c>
      <c r="M12" s="123">
        <v>17777</v>
      </c>
      <c r="N12" s="167"/>
      <c r="O12" s="84">
        <v>-26190</v>
      </c>
      <c r="P12" s="84">
        <v>-26190</v>
      </c>
      <c r="Q12" s="84">
        <v>-26190</v>
      </c>
      <c r="R12" s="85">
        <v>-25667</v>
      </c>
      <c r="S12" s="167"/>
      <c r="T12" s="84">
        <v>-54040</v>
      </c>
      <c r="U12" s="84">
        <v>-54040</v>
      </c>
      <c r="V12" s="85">
        <v>-34584</v>
      </c>
      <c r="X12" s="84">
        <v>-21396</v>
      </c>
      <c r="Y12" s="84">
        <v>-15407</v>
      </c>
      <c r="AA12" s="85">
        <f>VLOOKUP(A12,'Change in Proportion Calc'!$A$5:$H$319,8,FALSE)+I12+O12+T12+X12</f>
        <v>-82052</v>
      </c>
      <c r="AC12" s="84">
        <f t="shared" si="2"/>
        <v>79208</v>
      </c>
      <c r="AD12" s="84">
        <f t="shared" si="0"/>
        <v>182078</v>
      </c>
      <c r="AF12" s="84">
        <f>VLOOKUP(A12,'OPEB Amounts_Report'!$A$10:$G$324,6,FALSE)</f>
        <v>160511</v>
      </c>
      <c r="AG12" s="85">
        <f t="shared" si="1"/>
        <v>-81303</v>
      </c>
    </row>
    <row r="13" spans="1:33">
      <c r="A13" s="166">
        <v>2441</v>
      </c>
      <c r="B13" s="167" t="s">
        <v>437</v>
      </c>
      <c r="C13" s="123">
        <f>VLOOKUP($A13,'Change in Proportion Calc'!$A$5:$P$319,12,FALSE)</f>
        <v>8073</v>
      </c>
      <c r="D13" s="123">
        <f>VLOOKUP($A13,'Change in Proportion Calc'!$A$5:$P$319,13,FALSE)</f>
        <v>8073</v>
      </c>
      <c r="E13" s="123">
        <f>VLOOKUP($A13,'Change in Proportion Calc'!$A$5:$P$319,13,FALSE)</f>
        <v>8073</v>
      </c>
      <c r="F13" s="123">
        <f>VLOOKUP($A13,'Change in Proportion Calc'!$A$5:$P$319,13,FALSE)</f>
        <v>8073</v>
      </c>
      <c r="G13" s="123">
        <f>VLOOKUP($A13,'Change in Proportion Calc'!$A$5:$P$319,16,FALSE)</f>
        <v>7183</v>
      </c>
      <c r="H13" s="167"/>
      <c r="I13" s="123">
        <v>65520</v>
      </c>
      <c r="J13" s="123">
        <v>65520</v>
      </c>
      <c r="K13" s="123">
        <v>65520</v>
      </c>
      <c r="L13" s="123">
        <v>65520</v>
      </c>
      <c r="M13" s="123">
        <v>64212</v>
      </c>
      <c r="N13" s="167"/>
      <c r="O13" s="84">
        <v>0</v>
      </c>
      <c r="P13" s="84">
        <v>0</v>
      </c>
      <c r="Q13" s="84">
        <v>0</v>
      </c>
      <c r="R13" s="84">
        <v>0</v>
      </c>
      <c r="S13" s="167"/>
      <c r="T13" s="84">
        <v>0</v>
      </c>
      <c r="U13" s="84">
        <v>0</v>
      </c>
      <c r="V13" s="84">
        <v>0</v>
      </c>
      <c r="X13" s="84">
        <v>0</v>
      </c>
      <c r="Y13" s="84">
        <v>0</v>
      </c>
      <c r="AA13" s="85">
        <f>VLOOKUP(A13,'Change in Proportion Calc'!$A$5:$H$319,8,FALSE)+I13+O13+T13+X13</f>
        <v>73593</v>
      </c>
      <c r="AC13" s="84">
        <f t="shared" si="2"/>
        <v>300247</v>
      </c>
      <c r="AD13" s="84">
        <f t="shared" si="0"/>
        <v>0</v>
      </c>
      <c r="AF13" s="84">
        <f>VLOOKUP(A13,'OPEB Amounts_Report'!$A$10:$G$324,6,FALSE)</f>
        <v>45243</v>
      </c>
      <c r="AG13" s="85">
        <f t="shared" si="1"/>
        <v>255004</v>
      </c>
    </row>
    <row r="14" spans="1:33">
      <c r="A14" s="166">
        <v>15046</v>
      </c>
      <c r="B14" s="167" t="s">
        <v>10</v>
      </c>
      <c r="C14" s="123">
        <f>VLOOKUP($A14,'Change in Proportion Calc'!$A$5:$P$319,12,FALSE)</f>
        <v>-229342</v>
      </c>
      <c r="D14" s="123">
        <f>VLOOKUP($A14,'Change in Proportion Calc'!$A$5:$P$319,13,FALSE)</f>
        <v>-229342</v>
      </c>
      <c r="E14" s="123">
        <f>VLOOKUP($A14,'Change in Proportion Calc'!$A$5:$P$319,13,FALSE)</f>
        <v>-229342</v>
      </c>
      <c r="F14" s="123">
        <f>VLOOKUP($A14,'Change in Proportion Calc'!$A$5:$P$319,13,FALSE)</f>
        <v>-229342</v>
      </c>
      <c r="G14" s="123">
        <f>VLOOKUP($A14,'Change in Proportion Calc'!$A$5:$P$319,16,FALSE)</f>
        <v>-204112</v>
      </c>
      <c r="H14" s="167"/>
      <c r="I14" s="123">
        <v>-40657</v>
      </c>
      <c r="J14" s="123">
        <v>-40657</v>
      </c>
      <c r="K14" s="123">
        <v>-40657</v>
      </c>
      <c r="L14" s="123">
        <v>-40657</v>
      </c>
      <c r="M14" s="123">
        <v>-39842</v>
      </c>
      <c r="N14" s="167"/>
      <c r="O14" s="84">
        <v>377481</v>
      </c>
      <c r="P14" s="84">
        <v>377481</v>
      </c>
      <c r="Q14" s="84">
        <v>377481</v>
      </c>
      <c r="R14" s="85">
        <v>369929</v>
      </c>
      <c r="S14" s="167"/>
      <c r="T14" s="84">
        <v>-19016</v>
      </c>
      <c r="U14" s="84">
        <v>-19016</v>
      </c>
      <c r="V14" s="85">
        <v>-12169</v>
      </c>
      <c r="X14" s="84">
        <v>-101050</v>
      </c>
      <c r="Y14" s="84">
        <v>-72754</v>
      </c>
      <c r="AA14" s="85">
        <f>VLOOKUP(A14,'Change in Proportion Calc'!$A$5:$H$319,8,FALSE)+I14+O14+T14+X14</f>
        <v>-12583</v>
      </c>
      <c r="AC14" s="84">
        <f t="shared" si="2"/>
        <v>1124891</v>
      </c>
      <c r="AD14" s="84">
        <f t="shared" si="0"/>
        <v>1387232</v>
      </c>
      <c r="AF14" s="84">
        <f>VLOOKUP(A14,'OPEB Amounts_Report'!$A$10:$G$324,6,FALSE)</f>
        <v>3315195</v>
      </c>
      <c r="AG14" s="85">
        <f t="shared" si="1"/>
        <v>-2190304</v>
      </c>
    </row>
    <row r="15" spans="1:33">
      <c r="A15" s="164">
        <v>4380</v>
      </c>
      <c r="B15" s="168" t="s">
        <v>11</v>
      </c>
      <c r="C15" s="123">
        <f>VLOOKUP($A15,'Change in Proportion Calc'!$A$5:$P$319,12,FALSE)</f>
        <v>-181885</v>
      </c>
      <c r="D15" s="123">
        <f>VLOOKUP($A15,'Change in Proportion Calc'!$A$5:$P$319,13,FALSE)</f>
        <v>-181885</v>
      </c>
      <c r="E15" s="123">
        <f>VLOOKUP($A15,'Change in Proportion Calc'!$A$5:$P$319,13,FALSE)</f>
        <v>-181885</v>
      </c>
      <c r="F15" s="123">
        <f>VLOOKUP($A15,'Change in Proportion Calc'!$A$5:$P$319,13,FALSE)</f>
        <v>-181885</v>
      </c>
      <c r="G15" s="123">
        <f>VLOOKUP($A15,'Change in Proportion Calc'!$A$5:$P$319,16,FALSE)</f>
        <v>-161880</v>
      </c>
      <c r="H15" s="167"/>
      <c r="I15" s="123">
        <v>58717</v>
      </c>
      <c r="J15" s="123">
        <v>58717</v>
      </c>
      <c r="K15" s="123">
        <v>58717</v>
      </c>
      <c r="L15" s="123">
        <v>58717</v>
      </c>
      <c r="M15" s="123">
        <v>57545</v>
      </c>
      <c r="N15" s="167"/>
      <c r="O15" s="84">
        <v>-420930</v>
      </c>
      <c r="P15" s="84">
        <v>-420930</v>
      </c>
      <c r="Q15" s="84">
        <v>-420930</v>
      </c>
      <c r="R15" s="85">
        <v>-412513</v>
      </c>
      <c r="S15" s="167"/>
      <c r="T15" s="84">
        <v>-158142</v>
      </c>
      <c r="U15" s="84">
        <v>-158142</v>
      </c>
      <c r="V15" s="85">
        <v>-101209</v>
      </c>
      <c r="X15" s="84">
        <v>-103773</v>
      </c>
      <c r="Y15" s="84">
        <v>-74715</v>
      </c>
      <c r="AA15" s="85">
        <f>VLOOKUP(A15,'Change in Proportion Calc'!$A$5:$H$319,8,FALSE)+I15+O15+T15+X15</f>
        <v>-806014</v>
      </c>
      <c r="AC15" s="84">
        <f t="shared" si="2"/>
        <v>233696</v>
      </c>
      <c r="AD15" s="84">
        <f t="shared" si="0"/>
        <v>2477859</v>
      </c>
      <c r="AF15" s="84">
        <f>VLOOKUP(A15,'OPEB Amounts_Report'!$A$10:$G$324,6,FALSE)</f>
        <v>3454260</v>
      </c>
      <c r="AG15" s="85">
        <f t="shared" si="1"/>
        <v>-3220564</v>
      </c>
    </row>
    <row r="16" spans="1:33">
      <c r="A16" s="166">
        <v>2435</v>
      </c>
      <c r="B16" s="167" t="s">
        <v>408</v>
      </c>
      <c r="C16" s="123">
        <f>VLOOKUP($A16,'Change in Proportion Calc'!$A$5:$P$319,12,FALSE)</f>
        <v>33723</v>
      </c>
      <c r="D16" s="123">
        <f>VLOOKUP($A16,'Change in Proportion Calc'!$A$5:$P$319,13,FALSE)</f>
        <v>33723</v>
      </c>
      <c r="E16" s="123">
        <f>VLOOKUP($A16,'Change in Proportion Calc'!$A$5:$P$319,13,FALSE)</f>
        <v>33723</v>
      </c>
      <c r="F16" s="123">
        <f>VLOOKUP($A16,'Change in Proportion Calc'!$A$5:$P$319,13,FALSE)</f>
        <v>33723</v>
      </c>
      <c r="G16" s="123">
        <f>VLOOKUP($A16,'Change in Proportion Calc'!$A$5:$P$319,16,FALSE)</f>
        <v>30014</v>
      </c>
      <c r="H16" s="167"/>
      <c r="I16" s="123">
        <v>37336</v>
      </c>
      <c r="J16" s="123">
        <v>37336</v>
      </c>
      <c r="K16" s="123">
        <v>37336</v>
      </c>
      <c r="L16" s="123">
        <v>37336</v>
      </c>
      <c r="M16" s="123">
        <v>36590</v>
      </c>
      <c r="N16" s="167"/>
      <c r="O16" s="84">
        <v>22927</v>
      </c>
      <c r="P16" s="84">
        <v>22927</v>
      </c>
      <c r="Q16" s="84">
        <v>22927</v>
      </c>
      <c r="R16" s="85">
        <v>22469</v>
      </c>
      <c r="S16" s="167"/>
      <c r="T16" s="84">
        <v>67622</v>
      </c>
      <c r="U16" s="84">
        <v>67622</v>
      </c>
      <c r="V16" s="85">
        <v>43280</v>
      </c>
      <c r="X16" s="84">
        <v>0</v>
      </c>
      <c r="Y16" s="84">
        <v>0</v>
      </c>
      <c r="AA16" s="85">
        <f>VLOOKUP(A16,'Change in Proportion Calc'!$A$5:$H$319,8,FALSE)+I16+O16+T16+X16</f>
        <v>161608</v>
      </c>
      <c r="AC16" s="84">
        <f t="shared" si="2"/>
        <v>492729</v>
      </c>
      <c r="AD16" s="84">
        <f t="shared" si="0"/>
        <v>0</v>
      </c>
      <c r="AF16" s="84">
        <f>VLOOKUP(A16,'OPEB Amounts_Report'!$A$10:$G$324,6,FALSE)</f>
        <v>92593</v>
      </c>
      <c r="AG16" s="85">
        <f t="shared" si="1"/>
        <v>400136</v>
      </c>
    </row>
    <row r="17" spans="1:33">
      <c r="A17" s="164">
        <v>4560</v>
      </c>
      <c r="B17" s="168" t="s">
        <v>12</v>
      </c>
      <c r="C17" s="123">
        <f>VLOOKUP($A17,'Change in Proportion Calc'!$A$5:$P$319,12,FALSE)</f>
        <v>-33737</v>
      </c>
      <c r="D17" s="123">
        <f>VLOOKUP($A17,'Change in Proportion Calc'!$A$5:$P$319,13,FALSE)</f>
        <v>-33737</v>
      </c>
      <c r="E17" s="123">
        <f>VLOOKUP($A17,'Change in Proportion Calc'!$A$5:$P$319,13,FALSE)</f>
        <v>-33737</v>
      </c>
      <c r="F17" s="123">
        <f>VLOOKUP($A17,'Change in Proportion Calc'!$A$5:$P$319,13,FALSE)</f>
        <v>-33737</v>
      </c>
      <c r="G17" s="123">
        <f>VLOOKUP($A17,'Change in Proportion Calc'!$A$5:$P$319,16,FALSE)</f>
        <v>-30028</v>
      </c>
      <c r="H17" s="167"/>
      <c r="I17" s="123">
        <v>42034</v>
      </c>
      <c r="J17" s="123">
        <v>42034</v>
      </c>
      <c r="K17" s="123">
        <v>42034</v>
      </c>
      <c r="L17" s="123">
        <v>42034</v>
      </c>
      <c r="M17" s="123">
        <v>41191</v>
      </c>
      <c r="N17" s="167"/>
      <c r="O17" s="84">
        <v>-17174</v>
      </c>
      <c r="P17" s="84">
        <v>-17174</v>
      </c>
      <c r="Q17" s="84">
        <v>-17174</v>
      </c>
      <c r="R17" s="85">
        <v>-16829</v>
      </c>
      <c r="S17" s="167"/>
      <c r="T17" s="84">
        <v>-32986</v>
      </c>
      <c r="U17" s="84">
        <v>-32986</v>
      </c>
      <c r="V17" s="85">
        <v>-21113</v>
      </c>
      <c r="X17" s="84">
        <v>-51157</v>
      </c>
      <c r="Y17" s="84">
        <v>-36833</v>
      </c>
      <c r="AA17" s="85">
        <f>VLOOKUP(A17,'Change in Proportion Calc'!$A$5:$H$319,8,FALSE)+I17+O17+T17+X17</f>
        <v>-93020</v>
      </c>
      <c r="AC17" s="84">
        <f t="shared" si="2"/>
        <v>167293</v>
      </c>
      <c r="AD17" s="84">
        <f t="shared" si="0"/>
        <v>307085</v>
      </c>
      <c r="AF17" s="84">
        <f>VLOOKUP(A17,'OPEB Amounts_Report'!$A$10:$G$324,6,FALSE)</f>
        <v>288821</v>
      </c>
      <c r="AG17" s="85">
        <f t="shared" si="1"/>
        <v>-121528</v>
      </c>
    </row>
    <row r="18" spans="1:33">
      <c r="A18" s="166">
        <v>2341</v>
      </c>
      <c r="B18" s="167" t="s">
        <v>434</v>
      </c>
      <c r="C18" s="123">
        <f>VLOOKUP($A18,'Change in Proportion Calc'!$A$5:$P$319,12,FALSE)</f>
        <v>-1132</v>
      </c>
      <c r="D18" s="123">
        <f>VLOOKUP($A18,'Change in Proportion Calc'!$A$5:$P$319,13,FALSE)</f>
        <v>-1132</v>
      </c>
      <c r="E18" s="123">
        <f>VLOOKUP($A18,'Change in Proportion Calc'!$A$5:$P$319,13,FALSE)</f>
        <v>-1132</v>
      </c>
      <c r="F18" s="123">
        <f>VLOOKUP($A18,'Change in Proportion Calc'!$A$5:$P$319,13,FALSE)</f>
        <v>-1132</v>
      </c>
      <c r="G18" s="123">
        <f>VLOOKUP($A18,'Change in Proportion Calc'!$A$5:$P$319,16,FALSE)</f>
        <v>-1008</v>
      </c>
      <c r="H18" s="167"/>
      <c r="I18" s="123">
        <v>-13930</v>
      </c>
      <c r="J18" s="123">
        <v>-13930</v>
      </c>
      <c r="K18" s="123">
        <v>-13930</v>
      </c>
      <c r="L18" s="123">
        <v>-13930</v>
      </c>
      <c r="M18" s="123">
        <v>-13653</v>
      </c>
      <c r="N18" s="167"/>
      <c r="O18" s="84">
        <v>-10047</v>
      </c>
      <c r="P18" s="84">
        <v>-10047</v>
      </c>
      <c r="Q18" s="84">
        <v>-10047</v>
      </c>
      <c r="R18" s="85">
        <v>-9844</v>
      </c>
      <c r="S18" s="167"/>
      <c r="T18" s="84">
        <v>10284</v>
      </c>
      <c r="U18" s="84">
        <v>10284</v>
      </c>
      <c r="V18" s="85">
        <v>6582</v>
      </c>
      <c r="X18" s="84">
        <v>-29177</v>
      </c>
      <c r="Y18" s="84">
        <v>-21007</v>
      </c>
      <c r="AA18" s="85">
        <f>VLOOKUP(A18,'Change in Proportion Calc'!$A$5:$H$319,8,FALSE)+I18+O18+T18+X18</f>
        <v>-44002</v>
      </c>
      <c r="AC18" s="84">
        <f t="shared" si="2"/>
        <v>16866</v>
      </c>
      <c r="AD18" s="84">
        <f t="shared" si="0"/>
        <v>111924</v>
      </c>
      <c r="AF18" s="84">
        <f>VLOOKUP(A18,'OPEB Amounts_Report'!$A$10:$G$324,6,FALSE)</f>
        <v>181948</v>
      </c>
      <c r="AG18" s="85">
        <f t="shared" si="1"/>
        <v>-165082</v>
      </c>
    </row>
    <row r="19" spans="1:33">
      <c r="A19" s="164">
        <v>4580</v>
      </c>
      <c r="B19" s="168" t="s">
        <v>409</v>
      </c>
      <c r="C19" s="123">
        <f>VLOOKUP($A19,'Change in Proportion Calc'!$A$5:$P$319,12,FALSE)</f>
        <v>10222</v>
      </c>
      <c r="D19" s="123">
        <f>VLOOKUP($A19,'Change in Proportion Calc'!$A$5:$P$319,13,FALSE)</f>
        <v>10222</v>
      </c>
      <c r="E19" s="123">
        <f>VLOOKUP($A19,'Change in Proportion Calc'!$A$5:$P$319,13,FALSE)</f>
        <v>10222</v>
      </c>
      <c r="F19" s="123">
        <f>VLOOKUP($A19,'Change in Proportion Calc'!$A$5:$P$319,13,FALSE)</f>
        <v>10222</v>
      </c>
      <c r="G19" s="123">
        <f>VLOOKUP($A19,'Change in Proportion Calc'!$A$5:$P$319,16,FALSE)</f>
        <v>9100</v>
      </c>
      <c r="H19" s="167"/>
      <c r="I19" s="123">
        <v>-3320</v>
      </c>
      <c r="J19" s="123">
        <v>-3320</v>
      </c>
      <c r="K19" s="123">
        <v>-3320</v>
      </c>
      <c r="L19" s="123">
        <v>-3320</v>
      </c>
      <c r="M19" s="123">
        <v>-3256</v>
      </c>
      <c r="N19" s="167"/>
      <c r="O19" s="84">
        <v>-17775</v>
      </c>
      <c r="P19" s="84">
        <v>-17775</v>
      </c>
      <c r="Q19" s="84">
        <v>-17775</v>
      </c>
      <c r="R19" s="85">
        <v>-17419</v>
      </c>
      <c r="S19" s="167"/>
      <c r="T19" s="84">
        <v>325403</v>
      </c>
      <c r="U19" s="84">
        <v>325403</v>
      </c>
      <c r="V19" s="85">
        <v>208257</v>
      </c>
      <c r="X19" s="84">
        <v>0</v>
      </c>
      <c r="Y19" s="84">
        <v>0</v>
      </c>
      <c r="AA19" s="85">
        <f>VLOOKUP(A19,'Change in Proportion Calc'!$A$5:$H$319,8,FALSE)+I19+O19+T19+X19</f>
        <v>314530</v>
      </c>
      <c r="AC19" s="84">
        <f t="shared" si="2"/>
        <v>583648</v>
      </c>
      <c r="AD19" s="84">
        <f t="shared" si="0"/>
        <v>66185</v>
      </c>
      <c r="AF19" s="84">
        <f>VLOOKUP(A19,'OPEB Amounts_Report'!$A$10:$G$324,6,FALSE)</f>
        <v>159962</v>
      </c>
      <c r="AG19" s="85">
        <f t="shared" si="1"/>
        <v>423686</v>
      </c>
    </row>
    <row r="20" spans="1:33">
      <c r="A20" s="166">
        <v>2003</v>
      </c>
      <c r="B20" s="167" t="s">
        <v>13</v>
      </c>
      <c r="C20" s="123">
        <f>VLOOKUP($A20,'Change in Proportion Calc'!$A$5:$P$319,12,FALSE)</f>
        <v>928993</v>
      </c>
      <c r="D20" s="123">
        <f>VLOOKUP($A20,'Change in Proportion Calc'!$A$5:$P$319,13,FALSE)</f>
        <v>928993</v>
      </c>
      <c r="E20" s="123">
        <f>VLOOKUP($A20,'Change in Proportion Calc'!$A$5:$P$319,13,FALSE)</f>
        <v>928993</v>
      </c>
      <c r="F20" s="123">
        <f>VLOOKUP($A20,'Change in Proportion Calc'!$A$5:$P$319,13,FALSE)</f>
        <v>928993</v>
      </c>
      <c r="G20" s="123">
        <f>VLOOKUP($A20,'Change in Proportion Calc'!$A$5:$P$319,16,FALSE)</f>
        <v>826806</v>
      </c>
      <c r="H20" s="167"/>
      <c r="I20" s="123">
        <v>-1941965</v>
      </c>
      <c r="J20" s="123">
        <v>-1941965</v>
      </c>
      <c r="K20" s="123">
        <v>-1941965</v>
      </c>
      <c r="L20" s="123">
        <v>-1941965</v>
      </c>
      <c r="M20" s="123">
        <v>-1903127</v>
      </c>
      <c r="N20" s="167"/>
      <c r="O20" s="84">
        <v>3085190</v>
      </c>
      <c r="P20" s="84">
        <v>3085190</v>
      </c>
      <c r="Q20" s="84">
        <v>3085190</v>
      </c>
      <c r="R20" s="85">
        <v>3023487</v>
      </c>
      <c r="S20" s="167"/>
      <c r="T20" s="84">
        <v>1423953</v>
      </c>
      <c r="U20" s="84">
        <v>1423953</v>
      </c>
      <c r="V20" s="85">
        <v>911328</v>
      </c>
      <c r="X20" s="84">
        <v>-1960204</v>
      </c>
      <c r="Y20" s="84">
        <v>-1411349</v>
      </c>
      <c r="AA20" s="85">
        <f>VLOOKUP(A20,'Change in Proportion Calc'!$A$5:$H$319,8,FALSE)+I20+O20+T20+X20</f>
        <v>1535967</v>
      </c>
      <c r="AC20" s="84">
        <f t="shared" si="2"/>
        <v>16071926</v>
      </c>
      <c r="AD20" s="84">
        <f t="shared" si="0"/>
        <v>9140371</v>
      </c>
      <c r="AF20" s="84">
        <f>VLOOKUP(A20,'OPEB Amounts_Report'!$A$10:$G$324,6,FALSE)</f>
        <v>56434407</v>
      </c>
      <c r="AG20" s="85">
        <f t="shared" si="1"/>
        <v>-40362481</v>
      </c>
    </row>
    <row r="21" spans="1:33">
      <c r="A21" s="164">
        <v>2412</v>
      </c>
      <c r="B21" s="168" t="s">
        <v>14</v>
      </c>
      <c r="C21" s="123">
        <f>VLOOKUP($A21,'Change in Proportion Calc'!$A$5:$P$319,12,FALSE)</f>
        <v>111977</v>
      </c>
      <c r="D21" s="123">
        <f>VLOOKUP($A21,'Change in Proportion Calc'!$A$5:$P$319,13,FALSE)</f>
        <v>111977</v>
      </c>
      <c r="E21" s="123">
        <f>VLOOKUP($A21,'Change in Proportion Calc'!$A$5:$P$319,13,FALSE)</f>
        <v>111977</v>
      </c>
      <c r="F21" s="123">
        <f>VLOOKUP($A21,'Change in Proportion Calc'!$A$5:$P$319,13,FALSE)</f>
        <v>111977</v>
      </c>
      <c r="G21" s="123">
        <f>VLOOKUP($A21,'Change in Proportion Calc'!$A$5:$P$319,16,FALSE)</f>
        <v>99658</v>
      </c>
      <c r="H21" s="167"/>
      <c r="I21" s="123">
        <v>219482</v>
      </c>
      <c r="J21" s="123">
        <v>219482</v>
      </c>
      <c r="K21" s="123">
        <v>219482</v>
      </c>
      <c r="L21" s="123">
        <v>219482</v>
      </c>
      <c r="M21" s="123">
        <v>215090</v>
      </c>
      <c r="N21" s="167"/>
      <c r="O21" s="84">
        <v>83722</v>
      </c>
      <c r="P21" s="84">
        <v>83722</v>
      </c>
      <c r="Q21" s="84">
        <v>83722</v>
      </c>
      <c r="R21" s="85">
        <v>82050</v>
      </c>
      <c r="S21" s="167"/>
      <c r="T21" s="84">
        <v>115356</v>
      </c>
      <c r="U21" s="84">
        <v>115356</v>
      </c>
      <c r="V21" s="85">
        <v>73828</v>
      </c>
      <c r="X21" s="84">
        <v>25773</v>
      </c>
      <c r="Y21" s="84">
        <v>18556</v>
      </c>
      <c r="AA21" s="85">
        <f>VLOOKUP(A21,'Change in Proportion Calc'!$A$5:$H$319,8,FALSE)+I21+O21+T21+X21</f>
        <v>556310</v>
      </c>
      <c r="AC21" s="84">
        <f t="shared" si="2"/>
        <v>1878336</v>
      </c>
      <c r="AD21" s="84">
        <f t="shared" si="0"/>
        <v>0</v>
      </c>
      <c r="AF21" s="84">
        <f>VLOOKUP(A21,'OPEB Amounts_Report'!$A$10:$G$324,6,FALSE)</f>
        <v>515371</v>
      </c>
      <c r="AG21" s="85">
        <f t="shared" si="1"/>
        <v>1362965</v>
      </c>
    </row>
    <row r="22" spans="1:33">
      <c r="A22" s="166">
        <v>2402</v>
      </c>
      <c r="B22" s="167" t="s">
        <v>15</v>
      </c>
      <c r="C22" s="123">
        <f>VLOOKUP($A22,'Change in Proportion Calc'!$A$5:$P$319,12,FALSE)</f>
        <v>31818</v>
      </c>
      <c r="D22" s="123">
        <f>VLOOKUP($A22,'Change in Proportion Calc'!$A$5:$P$319,13,FALSE)</f>
        <v>31818</v>
      </c>
      <c r="E22" s="123">
        <f>VLOOKUP($A22,'Change in Proportion Calc'!$A$5:$P$319,13,FALSE)</f>
        <v>31818</v>
      </c>
      <c r="F22" s="123">
        <f>VLOOKUP($A22,'Change in Proportion Calc'!$A$5:$P$319,13,FALSE)</f>
        <v>31818</v>
      </c>
      <c r="G22" s="123">
        <f>VLOOKUP($A22,'Change in Proportion Calc'!$A$5:$P$319,16,FALSE)</f>
        <v>28316</v>
      </c>
      <c r="H22" s="167"/>
      <c r="I22" s="123">
        <v>28751</v>
      </c>
      <c r="J22" s="123">
        <v>28751</v>
      </c>
      <c r="K22" s="123">
        <v>28751</v>
      </c>
      <c r="L22" s="123">
        <v>28751</v>
      </c>
      <c r="M22" s="123">
        <v>28178</v>
      </c>
      <c r="N22" s="167"/>
      <c r="O22" s="84">
        <v>15027</v>
      </c>
      <c r="P22" s="84">
        <v>15027</v>
      </c>
      <c r="Q22" s="84">
        <v>15027</v>
      </c>
      <c r="R22" s="85">
        <v>14727</v>
      </c>
      <c r="S22" s="167"/>
      <c r="T22" s="84">
        <v>-50062</v>
      </c>
      <c r="U22" s="84">
        <v>-50062</v>
      </c>
      <c r="V22" s="85">
        <v>-32040</v>
      </c>
      <c r="X22" s="84">
        <v>-35013</v>
      </c>
      <c r="Y22" s="84">
        <v>-25207</v>
      </c>
      <c r="AA22" s="85">
        <f>VLOOKUP(A22,'Change in Proportion Calc'!$A$5:$H$319,8,FALSE)+I22+O22+T22+X22</f>
        <v>-9479</v>
      </c>
      <c r="AC22" s="84">
        <f t="shared" si="2"/>
        <v>314800</v>
      </c>
      <c r="AD22" s="84">
        <f t="shared" si="0"/>
        <v>107309</v>
      </c>
      <c r="AF22" s="84">
        <f>VLOOKUP(A22,'OPEB Amounts_Report'!$A$10:$G$324,6,FALSE)</f>
        <v>178933</v>
      </c>
      <c r="AG22" s="85">
        <f t="shared" si="1"/>
        <v>135867</v>
      </c>
    </row>
    <row r="23" spans="1:33">
      <c r="A23" s="164">
        <v>2361</v>
      </c>
      <c r="B23" s="168" t="s">
        <v>16</v>
      </c>
      <c r="C23" s="123">
        <f>VLOOKUP($A23,'Change in Proportion Calc'!$A$5:$P$319,12,FALSE)</f>
        <v>14452</v>
      </c>
      <c r="D23" s="123">
        <f>VLOOKUP($A23,'Change in Proportion Calc'!$A$5:$P$319,13,FALSE)</f>
        <v>14452</v>
      </c>
      <c r="E23" s="123">
        <f>VLOOKUP($A23,'Change in Proportion Calc'!$A$5:$P$319,13,FALSE)</f>
        <v>14452</v>
      </c>
      <c r="F23" s="123">
        <f>VLOOKUP($A23,'Change in Proportion Calc'!$A$5:$P$319,13,FALSE)</f>
        <v>14452</v>
      </c>
      <c r="G23" s="123">
        <f>VLOOKUP($A23,'Change in Proportion Calc'!$A$5:$P$319,16,FALSE)</f>
        <v>12860</v>
      </c>
      <c r="H23" s="167"/>
      <c r="I23" s="123">
        <v>-13120</v>
      </c>
      <c r="J23" s="123">
        <v>-13120</v>
      </c>
      <c r="K23" s="123">
        <v>-13120</v>
      </c>
      <c r="L23" s="123">
        <v>-13120</v>
      </c>
      <c r="M23" s="123">
        <v>-12859</v>
      </c>
      <c r="N23" s="167"/>
      <c r="O23" s="84">
        <v>-14769</v>
      </c>
      <c r="P23" s="84">
        <v>-14769</v>
      </c>
      <c r="Q23" s="84">
        <v>-14769</v>
      </c>
      <c r="R23" s="85">
        <v>-14476</v>
      </c>
      <c r="S23" s="167"/>
      <c r="T23" s="84">
        <v>15135</v>
      </c>
      <c r="U23" s="84">
        <v>15135</v>
      </c>
      <c r="V23" s="85">
        <v>9686</v>
      </c>
      <c r="X23" s="84">
        <v>-3015</v>
      </c>
      <c r="Y23" s="84">
        <v>-2171</v>
      </c>
      <c r="AA23" s="85">
        <f>VLOOKUP(A23,'Change in Proportion Calc'!$A$5:$H$319,8,FALSE)+I23+O23+T23+X23</f>
        <v>-1317</v>
      </c>
      <c r="AC23" s="84">
        <f t="shared" si="2"/>
        <v>95489</v>
      </c>
      <c r="AD23" s="84">
        <f t="shared" si="0"/>
        <v>98404</v>
      </c>
      <c r="AF23" s="84">
        <f>VLOOKUP(A23,'OPEB Amounts_Report'!$A$10:$G$324,6,FALSE)</f>
        <v>111068</v>
      </c>
      <c r="AG23" s="85">
        <f t="shared" si="1"/>
        <v>-15579</v>
      </c>
    </row>
    <row r="24" spans="1:33">
      <c r="A24" s="166">
        <v>8347</v>
      </c>
      <c r="B24" s="167" t="s">
        <v>17</v>
      </c>
      <c r="C24" s="123">
        <f>VLOOKUP($A24,'Change in Proportion Calc'!$A$5:$P$319,12,FALSE)</f>
        <v>-26852</v>
      </c>
      <c r="D24" s="123">
        <f>VLOOKUP($A24,'Change in Proportion Calc'!$A$5:$P$319,13,FALSE)</f>
        <v>-26852</v>
      </c>
      <c r="E24" s="123">
        <f>VLOOKUP($A24,'Change in Proportion Calc'!$A$5:$P$319,13,FALSE)</f>
        <v>-26852</v>
      </c>
      <c r="F24" s="123">
        <f>VLOOKUP($A24,'Change in Proportion Calc'!$A$5:$P$319,13,FALSE)</f>
        <v>-26852</v>
      </c>
      <c r="G24" s="123">
        <f>VLOOKUP($A24,'Change in Proportion Calc'!$A$5:$P$319,16,FALSE)</f>
        <v>-23896</v>
      </c>
      <c r="H24" s="167"/>
      <c r="I24" s="123">
        <v>13363</v>
      </c>
      <c r="J24" s="123">
        <v>13363</v>
      </c>
      <c r="K24" s="123">
        <v>13363</v>
      </c>
      <c r="L24" s="123">
        <v>13363</v>
      </c>
      <c r="M24" s="123">
        <v>13097</v>
      </c>
      <c r="N24" s="167"/>
      <c r="O24" s="84">
        <v>-23957</v>
      </c>
      <c r="P24" s="84">
        <v>-23957</v>
      </c>
      <c r="Q24" s="84">
        <v>-23957</v>
      </c>
      <c r="R24" s="85">
        <v>-23480</v>
      </c>
      <c r="S24" s="167"/>
      <c r="T24" s="84">
        <v>1358</v>
      </c>
      <c r="U24" s="84">
        <v>1358</v>
      </c>
      <c r="V24" s="85">
        <v>871</v>
      </c>
      <c r="X24" s="84">
        <v>12838</v>
      </c>
      <c r="Y24" s="84">
        <v>9243</v>
      </c>
      <c r="AA24" s="85">
        <f>VLOOKUP(A24,'Change in Proportion Calc'!$A$5:$H$319,8,FALSE)+I24+O24+T24+X24</f>
        <v>-23249</v>
      </c>
      <c r="AC24" s="84">
        <f t="shared" si="2"/>
        <v>64658</v>
      </c>
      <c r="AD24" s="84">
        <f t="shared" si="0"/>
        <v>202698</v>
      </c>
      <c r="AF24" s="84">
        <f>VLOOKUP(A24,'OPEB Amounts_Report'!$A$10:$G$324,6,FALSE)</f>
        <v>130014</v>
      </c>
      <c r="AG24" s="85">
        <f t="shared" si="1"/>
        <v>-65356</v>
      </c>
    </row>
    <row r="25" spans="1:33">
      <c r="A25" s="164">
        <v>2356</v>
      </c>
      <c r="B25" s="168" t="s">
        <v>18</v>
      </c>
      <c r="C25" s="123">
        <f>VLOOKUP($A25,'Change in Proportion Calc'!$A$5:$P$319,12,FALSE)</f>
        <v>12379</v>
      </c>
      <c r="D25" s="123">
        <f>VLOOKUP($A25,'Change in Proportion Calc'!$A$5:$P$319,13,FALSE)</f>
        <v>12379</v>
      </c>
      <c r="E25" s="123">
        <f>VLOOKUP($A25,'Change in Proportion Calc'!$A$5:$P$319,13,FALSE)</f>
        <v>12379</v>
      </c>
      <c r="F25" s="123">
        <f>VLOOKUP($A25,'Change in Proportion Calc'!$A$5:$P$319,13,FALSE)</f>
        <v>12379</v>
      </c>
      <c r="G25" s="123">
        <f>VLOOKUP($A25,'Change in Proportion Calc'!$A$5:$P$319,16,FALSE)</f>
        <v>11015</v>
      </c>
      <c r="H25" s="167"/>
      <c r="I25" s="123">
        <v>1296</v>
      </c>
      <c r="J25" s="123">
        <v>1296</v>
      </c>
      <c r="K25" s="123">
        <v>1296</v>
      </c>
      <c r="L25" s="123">
        <v>1296</v>
      </c>
      <c r="M25" s="123">
        <v>1269</v>
      </c>
      <c r="N25" s="167"/>
      <c r="O25" s="84">
        <v>12279</v>
      </c>
      <c r="P25" s="84">
        <v>12279</v>
      </c>
      <c r="Q25" s="84">
        <v>12279</v>
      </c>
      <c r="R25" s="85">
        <v>12035</v>
      </c>
      <c r="S25" s="167"/>
      <c r="T25" s="84">
        <v>83048</v>
      </c>
      <c r="U25" s="84">
        <v>83048</v>
      </c>
      <c r="V25" s="85">
        <v>53153</v>
      </c>
      <c r="X25" s="84">
        <v>2334</v>
      </c>
      <c r="Y25" s="84">
        <v>1681</v>
      </c>
      <c r="AA25" s="85">
        <f>VLOOKUP(A25,'Change in Proportion Calc'!$A$5:$H$319,8,FALSE)+I25+O25+T25+X25</f>
        <v>111336</v>
      </c>
      <c r="AC25" s="84">
        <f t="shared" si="2"/>
        <v>240163</v>
      </c>
      <c r="AD25" s="84">
        <f t="shared" si="0"/>
        <v>0</v>
      </c>
      <c r="AF25" s="84">
        <f>VLOOKUP(A25,'OPEB Amounts_Report'!$A$10:$G$324,6,FALSE)</f>
        <v>289335</v>
      </c>
      <c r="AG25" s="85">
        <f t="shared" si="1"/>
        <v>-49172</v>
      </c>
    </row>
    <row r="26" spans="1:33">
      <c r="A26" s="166">
        <v>7335</v>
      </c>
      <c r="B26" s="167" t="s">
        <v>19</v>
      </c>
      <c r="C26" s="123">
        <f>VLOOKUP($A26,'Change in Proportion Calc'!$A$5:$P$319,12,FALSE)</f>
        <v>38706</v>
      </c>
      <c r="D26" s="123">
        <f>VLOOKUP($A26,'Change in Proportion Calc'!$A$5:$P$319,13,FALSE)</f>
        <v>38706</v>
      </c>
      <c r="E26" s="123">
        <f>VLOOKUP($A26,'Change in Proportion Calc'!$A$5:$P$319,13,FALSE)</f>
        <v>38706</v>
      </c>
      <c r="F26" s="123">
        <f>VLOOKUP($A26,'Change in Proportion Calc'!$A$5:$P$319,13,FALSE)</f>
        <v>38706</v>
      </c>
      <c r="G26" s="123">
        <f>VLOOKUP($A26,'Change in Proportion Calc'!$A$5:$P$319,16,FALSE)</f>
        <v>34446</v>
      </c>
      <c r="H26" s="167"/>
      <c r="I26" s="123">
        <v>-10610</v>
      </c>
      <c r="J26" s="123">
        <v>-10610</v>
      </c>
      <c r="K26" s="123">
        <v>-10610</v>
      </c>
      <c r="L26" s="123">
        <v>-10610</v>
      </c>
      <c r="M26" s="123">
        <v>-10396</v>
      </c>
      <c r="N26" s="167"/>
      <c r="O26" s="84">
        <v>-9961</v>
      </c>
      <c r="P26" s="84">
        <v>-9961</v>
      </c>
      <c r="Q26" s="84">
        <v>-9961</v>
      </c>
      <c r="R26" s="85">
        <v>-9761</v>
      </c>
      <c r="S26" s="167"/>
      <c r="T26" s="84">
        <v>4754</v>
      </c>
      <c r="U26" s="84">
        <v>4754</v>
      </c>
      <c r="V26" s="85">
        <v>3042</v>
      </c>
      <c r="X26" s="84">
        <v>10990</v>
      </c>
      <c r="Y26" s="84">
        <v>7913</v>
      </c>
      <c r="AA26" s="85">
        <f>VLOOKUP(A26,'Change in Proportion Calc'!$A$5:$H$319,8,FALSE)+I26+O26+T26+X26</f>
        <v>33878</v>
      </c>
      <c r="AC26" s="84">
        <f t="shared" si="2"/>
        <v>204979</v>
      </c>
      <c r="AD26" s="84">
        <f t="shared" si="0"/>
        <v>71909</v>
      </c>
      <c r="AF26" s="84">
        <f>VLOOKUP(A26,'OPEB Amounts_Report'!$A$10:$G$324,6,FALSE)</f>
        <v>131747</v>
      </c>
      <c r="AG26" s="85">
        <f t="shared" si="1"/>
        <v>73232</v>
      </c>
    </row>
    <row r="27" spans="1:33">
      <c r="A27" s="164">
        <v>575</v>
      </c>
      <c r="B27" s="168" t="s">
        <v>410</v>
      </c>
      <c r="C27" s="123">
        <f>VLOOKUP($A27,'Change in Proportion Calc'!$A$5:$P$319,12,FALSE)</f>
        <v>18271</v>
      </c>
      <c r="D27" s="123">
        <f>VLOOKUP($A27,'Change in Proportion Calc'!$A$5:$P$319,13,FALSE)</f>
        <v>18271</v>
      </c>
      <c r="E27" s="123">
        <f>VLOOKUP($A27,'Change in Proportion Calc'!$A$5:$P$319,13,FALSE)</f>
        <v>18271</v>
      </c>
      <c r="F27" s="123">
        <f>VLOOKUP($A27,'Change in Proportion Calc'!$A$5:$P$319,13,FALSE)</f>
        <v>18271</v>
      </c>
      <c r="G27" s="123">
        <f>VLOOKUP($A27,'Change in Proportion Calc'!$A$5:$P$319,16,FALSE)</f>
        <v>16259</v>
      </c>
      <c r="H27" s="167"/>
      <c r="I27" s="123">
        <v>46650</v>
      </c>
      <c r="J27" s="123">
        <v>46650</v>
      </c>
      <c r="K27" s="123">
        <v>46650</v>
      </c>
      <c r="L27" s="123">
        <v>46650</v>
      </c>
      <c r="M27" s="123">
        <v>45717</v>
      </c>
      <c r="N27" s="167"/>
      <c r="O27" s="84">
        <v>20093</v>
      </c>
      <c r="P27" s="84">
        <v>20093</v>
      </c>
      <c r="Q27" s="84">
        <v>20093</v>
      </c>
      <c r="R27" s="85">
        <v>19693</v>
      </c>
      <c r="S27" s="167"/>
      <c r="T27" s="84">
        <v>92169</v>
      </c>
      <c r="U27" s="84">
        <v>92169</v>
      </c>
      <c r="V27" s="85">
        <v>58986</v>
      </c>
      <c r="X27" s="84">
        <v>0</v>
      </c>
      <c r="Y27" s="84">
        <v>0</v>
      </c>
      <c r="AA27" s="85">
        <f>VLOOKUP(A27,'Change in Proportion Calc'!$A$5:$H$319,8,FALSE)+I27+O27+T27+X27</f>
        <v>177182</v>
      </c>
      <c r="AC27" s="84">
        <f t="shared" si="2"/>
        <v>486044</v>
      </c>
      <c r="AD27" s="84">
        <f t="shared" si="0"/>
        <v>0</v>
      </c>
      <c r="AF27" s="84">
        <f>VLOOKUP(A27,'OPEB Amounts_Report'!$A$10:$G$324,6,FALSE)</f>
        <v>98896</v>
      </c>
      <c r="AG27" s="85">
        <f t="shared" si="1"/>
        <v>387148</v>
      </c>
    </row>
    <row r="28" spans="1:33">
      <c r="A28" s="166">
        <v>2303</v>
      </c>
      <c r="B28" s="167" t="s">
        <v>20</v>
      </c>
      <c r="C28" s="123">
        <f>VLOOKUP($A28,'Change in Proportion Calc'!$A$5:$P$319,12,FALSE)</f>
        <v>-18712</v>
      </c>
      <c r="D28" s="123">
        <f>VLOOKUP($A28,'Change in Proportion Calc'!$A$5:$P$319,13,FALSE)</f>
        <v>-18712</v>
      </c>
      <c r="E28" s="123">
        <f>VLOOKUP($A28,'Change in Proportion Calc'!$A$5:$P$319,13,FALSE)</f>
        <v>-18712</v>
      </c>
      <c r="F28" s="123">
        <f>VLOOKUP($A28,'Change in Proportion Calc'!$A$5:$P$319,13,FALSE)</f>
        <v>-18712</v>
      </c>
      <c r="G28" s="123">
        <f>VLOOKUP($A28,'Change in Proportion Calc'!$A$5:$P$319,16,FALSE)</f>
        <v>-16655</v>
      </c>
      <c r="H28" s="167"/>
      <c r="I28" s="123">
        <v>-13930</v>
      </c>
      <c r="J28" s="123">
        <v>-13930</v>
      </c>
      <c r="K28" s="123">
        <v>-13930</v>
      </c>
      <c r="L28" s="123">
        <v>-13930</v>
      </c>
      <c r="M28" s="123">
        <v>-13653</v>
      </c>
      <c r="N28" s="167"/>
      <c r="O28" s="84">
        <v>-20952</v>
      </c>
      <c r="P28" s="84">
        <v>-20952</v>
      </c>
      <c r="Q28" s="84">
        <v>-20952</v>
      </c>
      <c r="R28" s="85">
        <v>-20533</v>
      </c>
      <c r="S28" s="167"/>
      <c r="T28" s="84">
        <v>-41427</v>
      </c>
      <c r="U28" s="84">
        <v>-41427</v>
      </c>
      <c r="V28" s="85">
        <v>-26515</v>
      </c>
      <c r="X28" s="84">
        <v>-2626</v>
      </c>
      <c r="Y28" s="84">
        <v>-1890</v>
      </c>
      <c r="AA28" s="85">
        <f>VLOOKUP(A28,'Change in Proportion Calc'!$A$5:$H$319,8,FALSE)+I28+O28+T28+X28</f>
        <v>-97647</v>
      </c>
      <c r="AC28" s="84">
        <f t="shared" si="2"/>
        <v>0</v>
      </c>
      <c r="AD28" s="84">
        <f t="shared" si="0"/>
        <v>279215</v>
      </c>
      <c r="AF28" s="84">
        <f>VLOOKUP(A28,'OPEB Amounts_Report'!$A$10:$G$324,6,FALSE)</f>
        <v>206079</v>
      </c>
      <c r="AG28" s="85">
        <f t="shared" si="1"/>
        <v>-206079</v>
      </c>
    </row>
    <row r="29" spans="1:33">
      <c r="A29" s="164">
        <v>20316</v>
      </c>
      <c r="B29" s="168" t="s">
        <v>21</v>
      </c>
      <c r="C29" s="123">
        <f>VLOOKUP($A29,'Change in Proportion Calc'!$A$5:$P$319,12,FALSE)</f>
        <v>24609</v>
      </c>
      <c r="D29" s="123">
        <f>VLOOKUP($A29,'Change in Proportion Calc'!$A$5:$P$319,13,FALSE)</f>
        <v>24609</v>
      </c>
      <c r="E29" s="123">
        <f>VLOOKUP($A29,'Change in Proportion Calc'!$A$5:$P$319,13,FALSE)</f>
        <v>24609</v>
      </c>
      <c r="F29" s="123">
        <f>VLOOKUP($A29,'Change in Proportion Calc'!$A$5:$P$319,13,FALSE)</f>
        <v>24609</v>
      </c>
      <c r="G29" s="123">
        <f>VLOOKUP($A29,'Change in Proportion Calc'!$A$5:$P$319,16,FALSE)</f>
        <v>21904</v>
      </c>
      <c r="H29" s="167"/>
      <c r="I29" s="123">
        <v>13930</v>
      </c>
      <c r="J29" s="123">
        <v>13930</v>
      </c>
      <c r="K29" s="123">
        <v>13930</v>
      </c>
      <c r="L29" s="123">
        <v>13930</v>
      </c>
      <c r="M29" s="123">
        <v>13653</v>
      </c>
      <c r="N29" s="167"/>
      <c r="O29" s="84">
        <v>2318</v>
      </c>
      <c r="P29" s="84">
        <v>2318</v>
      </c>
      <c r="Q29" s="84">
        <v>2318</v>
      </c>
      <c r="R29" s="85">
        <v>2274</v>
      </c>
      <c r="S29" s="167"/>
      <c r="T29" s="84">
        <v>679</v>
      </c>
      <c r="U29" s="84">
        <v>679</v>
      </c>
      <c r="V29" s="85">
        <v>435</v>
      </c>
      <c r="X29" s="84">
        <v>2237</v>
      </c>
      <c r="Y29" s="84">
        <v>1610</v>
      </c>
      <c r="AA29" s="85">
        <f>VLOOKUP(A29,'Change in Proportion Calc'!$A$5:$H$319,8,FALSE)+I29+O29+T29+X29</f>
        <v>43773</v>
      </c>
      <c r="AC29" s="84">
        <f t="shared" si="2"/>
        <v>185417</v>
      </c>
      <c r="AD29" s="84">
        <f t="shared" si="0"/>
        <v>0</v>
      </c>
      <c r="AF29" s="84">
        <f>VLOOKUP(A29,'OPEB Amounts_Report'!$A$10:$G$324,6,FALSE)</f>
        <v>129674</v>
      </c>
      <c r="AG29" s="85">
        <f t="shared" si="1"/>
        <v>55743</v>
      </c>
    </row>
    <row r="30" spans="1:33">
      <c r="A30" s="166">
        <v>23121</v>
      </c>
      <c r="B30" s="167" t="s">
        <v>22</v>
      </c>
      <c r="C30" s="123">
        <f>VLOOKUP($A30,'Change in Proportion Calc'!$A$5:$P$319,12,FALSE)</f>
        <v>19730</v>
      </c>
      <c r="D30" s="123">
        <f>VLOOKUP($A30,'Change in Proportion Calc'!$A$5:$P$319,13,FALSE)</f>
        <v>19730</v>
      </c>
      <c r="E30" s="123">
        <f>VLOOKUP($A30,'Change in Proportion Calc'!$A$5:$P$319,13,FALSE)</f>
        <v>19730</v>
      </c>
      <c r="F30" s="123">
        <f>VLOOKUP($A30,'Change in Proportion Calc'!$A$5:$P$319,13,FALSE)</f>
        <v>19730</v>
      </c>
      <c r="G30" s="123">
        <f>VLOOKUP($A30,'Change in Proportion Calc'!$A$5:$P$319,16,FALSE)</f>
        <v>17558</v>
      </c>
      <c r="H30" s="167"/>
      <c r="I30" s="123">
        <v>-18870</v>
      </c>
      <c r="J30" s="123">
        <v>-18870</v>
      </c>
      <c r="K30" s="123">
        <v>-18870</v>
      </c>
      <c r="L30" s="123">
        <v>-18870</v>
      </c>
      <c r="M30" s="123">
        <v>-18495</v>
      </c>
      <c r="N30" s="167"/>
      <c r="O30" s="84">
        <v>-11077</v>
      </c>
      <c r="P30" s="84">
        <v>-11077</v>
      </c>
      <c r="Q30" s="84">
        <v>-11077</v>
      </c>
      <c r="R30" s="85">
        <v>-10856</v>
      </c>
      <c r="S30" s="167"/>
      <c r="T30" s="84">
        <v>-23382</v>
      </c>
      <c r="U30" s="84">
        <v>-23382</v>
      </c>
      <c r="V30" s="85">
        <v>-14963</v>
      </c>
      <c r="X30" s="84">
        <v>-6808</v>
      </c>
      <c r="Y30" s="84">
        <v>-4901</v>
      </c>
      <c r="AA30" s="85">
        <f>VLOOKUP(A30,'Change in Proportion Calc'!$A$5:$H$319,8,FALSE)+I30+O30+T30+X30</f>
        <v>-40407</v>
      </c>
      <c r="AC30" s="84">
        <f t="shared" si="2"/>
        <v>96478</v>
      </c>
      <c r="AD30" s="84">
        <f t="shared" si="0"/>
        <v>151361</v>
      </c>
      <c r="AF30" s="84">
        <f>VLOOKUP(A30,'OPEB Amounts_Report'!$A$10:$G$324,6,FALSE)</f>
        <v>151257</v>
      </c>
      <c r="AG30" s="85">
        <f t="shared" si="1"/>
        <v>-54779</v>
      </c>
    </row>
    <row r="31" spans="1:33">
      <c r="A31" s="164">
        <v>3004</v>
      </c>
      <c r="B31" s="168" t="s">
        <v>23</v>
      </c>
      <c r="C31" s="123">
        <f>VLOOKUP($A31,'Change in Proportion Calc'!$A$5:$P$319,12,FALSE)</f>
        <v>-108283</v>
      </c>
      <c r="D31" s="123">
        <f>VLOOKUP($A31,'Change in Proportion Calc'!$A$5:$P$319,13,FALSE)</f>
        <v>-108283</v>
      </c>
      <c r="E31" s="123">
        <f>VLOOKUP($A31,'Change in Proportion Calc'!$A$5:$P$319,13,FALSE)</f>
        <v>-108283</v>
      </c>
      <c r="F31" s="123">
        <f>VLOOKUP($A31,'Change in Proportion Calc'!$A$5:$P$319,13,FALSE)</f>
        <v>-108283</v>
      </c>
      <c r="G31" s="123">
        <f>VLOOKUP($A31,'Change in Proportion Calc'!$A$5:$P$319,16,FALSE)</f>
        <v>-96374</v>
      </c>
      <c r="H31" s="167"/>
      <c r="I31" s="123">
        <v>89332</v>
      </c>
      <c r="J31" s="123">
        <v>89332</v>
      </c>
      <c r="K31" s="123">
        <v>89332</v>
      </c>
      <c r="L31" s="123">
        <v>89332</v>
      </c>
      <c r="M31" s="123">
        <v>87543</v>
      </c>
      <c r="N31" s="167"/>
      <c r="O31" s="84">
        <v>-62942</v>
      </c>
      <c r="P31" s="84">
        <v>-62942</v>
      </c>
      <c r="Q31" s="84">
        <v>-62942</v>
      </c>
      <c r="R31" s="85">
        <v>-61683</v>
      </c>
      <c r="S31" s="167"/>
      <c r="T31" s="84">
        <v>-40554</v>
      </c>
      <c r="U31" s="84">
        <v>-40554</v>
      </c>
      <c r="V31" s="85">
        <v>-25955</v>
      </c>
      <c r="X31" s="84">
        <v>54658</v>
      </c>
      <c r="Y31" s="84">
        <v>39355</v>
      </c>
      <c r="AA31" s="85">
        <f>VLOOKUP(A31,'Change in Proportion Calc'!$A$5:$H$319,8,FALSE)+I31+O31+T31+X31</f>
        <v>-67789</v>
      </c>
      <c r="AC31" s="84">
        <f t="shared" si="2"/>
        <v>394894</v>
      </c>
      <c r="AD31" s="84">
        <f t="shared" si="0"/>
        <v>783582</v>
      </c>
      <c r="AF31" s="84">
        <f>VLOOKUP(A31,'OPEB Amounts_Report'!$A$10:$G$324,6,FALSE)</f>
        <v>2363360</v>
      </c>
      <c r="AG31" s="85">
        <f t="shared" si="1"/>
        <v>-1968466</v>
      </c>
    </row>
    <row r="32" spans="1:33">
      <c r="A32" s="166">
        <v>16050</v>
      </c>
      <c r="B32" s="167" t="s">
        <v>24</v>
      </c>
      <c r="C32" s="123">
        <f>VLOOKUP($A32,'Change in Proportion Calc'!$A$5:$P$319,12,FALSE)</f>
        <v>-57260</v>
      </c>
      <c r="D32" s="123">
        <f>VLOOKUP($A32,'Change in Proportion Calc'!$A$5:$P$319,13,FALSE)</f>
        <v>-57260</v>
      </c>
      <c r="E32" s="123">
        <f>VLOOKUP($A32,'Change in Proportion Calc'!$A$5:$P$319,13,FALSE)</f>
        <v>-57260</v>
      </c>
      <c r="F32" s="123">
        <f>VLOOKUP($A32,'Change in Proportion Calc'!$A$5:$P$319,13,FALSE)</f>
        <v>-57260</v>
      </c>
      <c r="G32" s="123">
        <f>VLOOKUP($A32,'Change in Proportion Calc'!$A$5:$P$319,16,FALSE)</f>
        <v>-50962</v>
      </c>
      <c r="H32" s="167"/>
      <c r="I32" s="123">
        <v>59041</v>
      </c>
      <c r="J32" s="123">
        <v>59041</v>
      </c>
      <c r="K32" s="123">
        <v>59041</v>
      </c>
      <c r="L32" s="123">
        <v>59041</v>
      </c>
      <c r="M32" s="123">
        <v>57862</v>
      </c>
      <c r="N32" s="167"/>
      <c r="O32" s="84">
        <v>24730</v>
      </c>
      <c r="P32" s="84">
        <v>24730</v>
      </c>
      <c r="Q32" s="84">
        <v>24730</v>
      </c>
      <c r="R32" s="85">
        <v>24237</v>
      </c>
      <c r="S32" s="167"/>
      <c r="T32" s="84">
        <v>-62966</v>
      </c>
      <c r="U32" s="84">
        <v>-62966</v>
      </c>
      <c r="V32" s="85">
        <v>-40296</v>
      </c>
      <c r="X32" s="84">
        <v>-122640</v>
      </c>
      <c r="Y32" s="84">
        <v>-88303</v>
      </c>
      <c r="AA32" s="85">
        <f>VLOOKUP(A32,'Change in Proportion Calc'!$A$5:$H$319,8,FALSE)+I32+O32+T32+X32</f>
        <v>-159095</v>
      </c>
      <c r="AC32" s="84">
        <f t="shared" si="2"/>
        <v>308682</v>
      </c>
      <c r="AD32" s="84">
        <f t="shared" si="0"/>
        <v>471567</v>
      </c>
      <c r="AF32" s="84">
        <f>VLOOKUP(A32,'OPEB Amounts_Report'!$A$10:$G$324,6,FALSE)</f>
        <v>1624003</v>
      </c>
      <c r="AG32" s="85">
        <f t="shared" si="1"/>
        <v>-1315321</v>
      </c>
    </row>
    <row r="33" spans="1:33">
      <c r="A33" s="164">
        <v>14043</v>
      </c>
      <c r="B33" s="168" t="s">
        <v>25</v>
      </c>
      <c r="C33" s="123">
        <f>VLOOKUP($A33,'Change in Proportion Calc'!$A$5:$P$319,12,FALSE)</f>
        <v>95839</v>
      </c>
      <c r="D33" s="123">
        <f>VLOOKUP($A33,'Change in Proportion Calc'!$A$5:$P$319,13,FALSE)</f>
        <v>95839</v>
      </c>
      <c r="E33" s="123">
        <f>VLOOKUP($A33,'Change in Proportion Calc'!$A$5:$P$319,13,FALSE)</f>
        <v>95839</v>
      </c>
      <c r="F33" s="123">
        <f>VLOOKUP($A33,'Change in Proportion Calc'!$A$5:$P$319,13,FALSE)</f>
        <v>95839</v>
      </c>
      <c r="G33" s="123">
        <f>VLOOKUP($A33,'Change in Proportion Calc'!$A$5:$P$319,16,FALSE)</f>
        <v>85299</v>
      </c>
      <c r="H33" s="167"/>
      <c r="I33" s="123">
        <v>-96863</v>
      </c>
      <c r="J33" s="123">
        <v>-96863</v>
      </c>
      <c r="K33" s="123">
        <v>-96863</v>
      </c>
      <c r="L33" s="123">
        <v>-96863</v>
      </c>
      <c r="M33" s="123">
        <v>-94928</v>
      </c>
      <c r="N33" s="167"/>
      <c r="O33" s="84">
        <v>-380143</v>
      </c>
      <c r="P33" s="84">
        <v>-380143</v>
      </c>
      <c r="Q33" s="84">
        <v>-380143</v>
      </c>
      <c r="R33" s="85">
        <v>-372538</v>
      </c>
      <c r="S33" s="167"/>
      <c r="T33" s="84">
        <v>707756</v>
      </c>
      <c r="U33" s="84">
        <v>707756</v>
      </c>
      <c r="V33" s="85">
        <v>452964</v>
      </c>
      <c r="X33" s="84">
        <v>-443879</v>
      </c>
      <c r="Y33" s="84">
        <v>-319591</v>
      </c>
      <c r="AA33" s="85">
        <f>VLOOKUP(A33,'Change in Proportion Calc'!$A$5:$H$319,8,FALSE)+I33+O33+T33+X33</f>
        <v>-117289</v>
      </c>
      <c r="AC33" s="84">
        <f t="shared" si="2"/>
        <v>1629375</v>
      </c>
      <c r="AD33" s="84">
        <f t="shared" si="0"/>
        <v>1837932</v>
      </c>
      <c r="AF33" s="84">
        <f>VLOOKUP(A33,'OPEB Amounts_Report'!$A$10:$G$324,6,FALSE)</f>
        <v>2354746</v>
      </c>
      <c r="AG33" s="85">
        <f t="shared" si="1"/>
        <v>-725371</v>
      </c>
    </row>
    <row r="34" spans="1:33">
      <c r="A34" s="166">
        <v>3010</v>
      </c>
      <c r="B34" s="167" t="s">
        <v>26</v>
      </c>
      <c r="C34" s="123">
        <f>VLOOKUP($A34,'Change in Proportion Calc'!$A$5:$P$319,12,FALSE)</f>
        <v>-646844</v>
      </c>
      <c r="D34" s="123">
        <f>VLOOKUP($A34,'Change in Proportion Calc'!$A$5:$P$319,13,FALSE)</f>
        <v>-646844</v>
      </c>
      <c r="E34" s="123">
        <f>VLOOKUP($A34,'Change in Proportion Calc'!$A$5:$P$319,13,FALSE)</f>
        <v>-646844</v>
      </c>
      <c r="F34" s="123">
        <f>VLOOKUP($A34,'Change in Proportion Calc'!$A$5:$P$319,13,FALSE)</f>
        <v>-646844</v>
      </c>
      <c r="G34" s="123">
        <f>VLOOKUP($A34,'Change in Proportion Calc'!$A$5:$P$319,16,FALSE)</f>
        <v>-575689</v>
      </c>
      <c r="H34" s="167"/>
      <c r="I34" s="123">
        <v>312700</v>
      </c>
      <c r="J34" s="123">
        <v>312700</v>
      </c>
      <c r="K34" s="123">
        <v>312700</v>
      </c>
      <c r="L34" s="123">
        <v>312700</v>
      </c>
      <c r="M34" s="123">
        <v>306448</v>
      </c>
      <c r="N34" s="167"/>
      <c r="O34" s="84">
        <v>-766210</v>
      </c>
      <c r="P34" s="84">
        <v>-766210</v>
      </c>
      <c r="Q34" s="84">
        <v>-766210</v>
      </c>
      <c r="R34" s="85">
        <v>-750885</v>
      </c>
      <c r="S34" s="167"/>
      <c r="T34" s="84">
        <v>656142</v>
      </c>
      <c r="U34" s="84">
        <v>656142</v>
      </c>
      <c r="V34" s="85">
        <v>419929</v>
      </c>
      <c r="X34" s="84">
        <v>130907</v>
      </c>
      <c r="Y34" s="84">
        <v>94254</v>
      </c>
      <c r="AA34" s="85">
        <f>VLOOKUP(A34,'Change in Proportion Calc'!$A$5:$H$319,8,FALSE)+I34+O34+T34+X34</f>
        <v>-313305</v>
      </c>
      <c r="AC34" s="84">
        <f t="shared" si="2"/>
        <v>2414873</v>
      </c>
      <c r="AD34" s="84">
        <f t="shared" si="0"/>
        <v>5446370</v>
      </c>
      <c r="AF34" s="84">
        <f>VLOOKUP(A34,'OPEB Amounts_Report'!$A$10:$G$324,6,FALSE)</f>
        <v>13934341</v>
      </c>
      <c r="AG34" s="85">
        <f t="shared" si="1"/>
        <v>-11519468</v>
      </c>
    </row>
    <row r="35" spans="1:33">
      <c r="A35" s="164">
        <v>29086</v>
      </c>
      <c r="B35" s="168" t="s">
        <v>27</v>
      </c>
      <c r="C35" s="123">
        <f>VLOOKUP($A35,'Change in Proportion Calc'!$A$5:$P$319,12,FALSE)</f>
        <v>-36093</v>
      </c>
      <c r="D35" s="123">
        <f>VLOOKUP($A35,'Change in Proportion Calc'!$A$5:$P$319,13,FALSE)</f>
        <v>-36093</v>
      </c>
      <c r="E35" s="123">
        <f>VLOOKUP($A35,'Change in Proportion Calc'!$A$5:$P$319,13,FALSE)</f>
        <v>-36093</v>
      </c>
      <c r="F35" s="123">
        <f>VLOOKUP($A35,'Change in Proportion Calc'!$A$5:$P$319,13,FALSE)</f>
        <v>-36093</v>
      </c>
      <c r="G35" s="123">
        <f>VLOOKUP($A35,'Change in Proportion Calc'!$A$5:$P$319,16,FALSE)</f>
        <v>-32123</v>
      </c>
      <c r="H35" s="167"/>
      <c r="I35" s="123">
        <v>-159387</v>
      </c>
      <c r="J35" s="123">
        <v>-159387</v>
      </c>
      <c r="K35" s="123">
        <v>-159387</v>
      </c>
      <c r="L35" s="123">
        <v>-159387</v>
      </c>
      <c r="M35" s="123">
        <v>-156201</v>
      </c>
      <c r="N35" s="167"/>
      <c r="O35" s="84">
        <v>65690</v>
      </c>
      <c r="P35" s="84">
        <v>65690</v>
      </c>
      <c r="Q35" s="84">
        <v>65690</v>
      </c>
      <c r="R35" s="85">
        <v>64375</v>
      </c>
      <c r="S35" s="167"/>
      <c r="T35" s="84">
        <v>116714</v>
      </c>
      <c r="U35" s="84">
        <v>116714</v>
      </c>
      <c r="V35" s="85">
        <v>74698</v>
      </c>
      <c r="X35" s="84">
        <v>-197042</v>
      </c>
      <c r="Y35" s="84">
        <v>-141868</v>
      </c>
      <c r="AA35" s="85">
        <f>VLOOKUP(A35,'Change in Proportion Calc'!$A$5:$H$319,8,FALSE)+I35+O35+T35+X35</f>
        <v>-210118</v>
      </c>
      <c r="AC35" s="84">
        <f t="shared" si="2"/>
        <v>387167</v>
      </c>
      <c r="AD35" s="84">
        <f t="shared" si="0"/>
        <v>952725</v>
      </c>
      <c r="AF35" s="84">
        <f>VLOOKUP(A35,'OPEB Amounts_Report'!$A$10:$G$324,6,FALSE)</f>
        <v>2121923</v>
      </c>
      <c r="AG35" s="85">
        <f t="shared" si="1"/>
        <v>-1734756</v>
      </c>
    </row>
    <row r="36" spans="1:33">
      <c r="A36" s="166">
        <v>16051</v>
      </c>
      <c r="B36" s="167" t="s">
        <v>28</v>
      </c>
      <c r="C36" s="123">
        <f>VLOOKUP($A36,'Change in Proportion Calc'!$A$5:$P$319,12,FALSE)</f>
        <v>-93870</v>
      </c>
      <c r="D36" s="123">
        <f>VLOOKUP($A36,'Change in Proportion Calc'!$A$5:$P$319,13,FALSE)</f>
        <v>-93870</v>
      </c>
      <c r="E36" s="123">
        <f>VLOOKUP($A36,'Change in Proportion Calc'!$A$5:$P$319,13,FALSE)</f>
        <v>-93870</v>
      </c>
      <c r="F36" s="123">
        <f>VLOOKUP($A36,'Change in Proportion Calc'!$A$5:$P$319,13,FALSE)</f>
        <v>-93870</v>
      </c>
      <c r="G36" s="123">
        <f>VLOOKUP($A36,'Change in Proportion Calc'!$A$5:$P$319,16,FALSE)</f>
        <v>-83543</v>
      </c>
      <c r="H36" s="167"/>
      <c r="I36" s="123">
        <v>4536</v>
      </c>
      <c r="J36" s="123">
        <v>4536</v>
      </c>
      <c r="K36" s="123">
        <v>4536</v>
      </c>
      <c r="L36" s="123">
        <v>4536</v>
      </c>
      <c r="M36" s="123">
        <v>4443</v>
      </c>
      <c r="N36" s="167"/>
      <c r="O36" s="84">
        <v>83465</v>
      </c>
      <c r="P36" s="84">
        <v>83465</v>
      </c>
      <c r="Q36" s="84">
        <v>83465</v>
      </c>
      <c r="R36" s="85">
        <v>81794</v>
      </c>
      <c r="S36" s="167"/>
      <c r="T36" s="84">
        <v>8150</v>
      </c>
      <c r="U36" s="84">
        <v>8150</v>
      </c>
      <c r="V36" s="85">
        <v>5214</v>
      </c>
      <c r="X36" s="84">
        <v>32484</v>
      </c>
      <c r="Y36" s="84">
        <v>23387</v>
      </c>
      <c r="AA36" s="85">
        <f>VLOOKUP(A36,'Change in Proportion Calc'!$A$5:$H$319,8,FALSE)+I36+O36+T36+X36</f>
        <v>34765</v>
      </c>
      <c r="AC36" s="84">
        <f t="shared" si="2"/>
        <v>303526</v>
      </c>
      <c r="AD36" s="84">
        <f t="shared" si="0"/>
        <v>459023</v>
      </c>
      <c r="AF36" s="84">
        <f>VLOOKUP(A36,'OPEB Amounts_Report'!$A$10:$G$324,6,FALSE)</f>
        <v>1806159</v>
      </c>
      <c r="AG36" s="85">
        <f t="shared" si="1"/>
        <v>-1502633</v>
      </c>
    </row>
    <row r="37" spans="1:33">
      <c r="A37" s="164">
        <v>26077</v>
      </c>
      <c r="B37" s="168" t="s">
        <v>29</v>
      </c>
      <c r="C37" s="123">
        <f>VLOOKUP($A37,'Change in Proportion Calc'!$A$5:$P$319,12,FALSE)</f>
        <v>11433</v>
      </c>
      <c r="D37" s="123">
        <f>VLOOKUP($A37,'Change in Proportion Calc'!$A$5:$P$319,13,FALSE)</f>
        <v>11433</v>
      </c>
      <c r="E37" s="123">
        <f>VLOOKUP($A37,'Change in Proportion Calc'!$A$5:$P$319,13,FALSE)</f>
        <v>11433</v>
      </c>
      <c r="F37" s="123">
        <f>VLOOKUP($A37,'Change in Proportion Calc'!$A$5:$P$319,13,FALSE)</f>
        <v>11433</v>
      </c>
      <c r="G37" s="123">
        <f>VLOOKUP($A37,'Change in Proportion Calc'!$A$5:$P$319,16,FALSE)</f>
        <v>10177</v>
      </c>
      <c r="H37" s="167"/>
      <c r="I37" s="123">
        <v>-12877</v>
      </c>
      <c r="J37" s="123">
        <v>-12877</v>
      </c>
      <c r="K37" s="123">
        <v>-12877</v>
      </c>
      <c r="L37" s="123">
        <v>-12877</v>
      </c>
      <c r="M37" s="123">
        <v>-12621</v>
      </c>
      <c r="N37" s="167"/>
      <c r="O37" s="84">
        <v>7986</v>
      </c>
      <c r="P37" s="84">
        <v>7986</v>
      </c>
      <c r="Q37" s="84">
        <v>7986</v>
      </c>
      <c r="R37" s="85">
        <v>7825</v>
      </c>
      <c r="S37" s="167"/>
      <c r="T37" s="84">
        <v>3396</v>
      </c>
      <c r="U37" s="84">
        <v>3396</v>
      </c>
      <c r="V37" s="85">
        <v>2172</v>
      </c>
      <c r="X37" s="84">
        <v>26259</v>
      </c>
      <c r="Y37" s="84">
        <v>18908</v>
      </c>
      <c r="AA37" s="85">
        <f>VLOOKUP(A37,'Change in Proportion Calc'!$A$5:$H$319,8,FALSE)+I37+O37+T37+X37</f>
        <v>36197</v>
      </c>
      <c r="AC37" s="84">
        <f t="shared" si="2"/>
        <v>104182</v>
      </c>
      <c r="AD37" s="84">
        <f t="shared" si="0"/>
        <v>51252</v>
      </c>
      <c r="AF37" s="84">
        <f>VLOOKUP(A37,'OPEB Amounts_Report'!$A$10:$G$324,6,FALSE)</f>
        <v>357715</v>
      </c>
      <c r="AG37" s="85">
        <f t="shared" si="1"/>
        <v>-253533</v>
      </c>
    </row>
    <row r="38" spans="1:33">
      <c r="A38" s="166">
        <v>3005</v>
      </c>
      <c r="B38" s="167" t="s">
        <v>30</v>
      </c>
      <c r="C38" s="123">
        <f>VLOOKUP($A38,'Change in Proportion Calc'!$A$5:$P$319,12,FALSE)</f>
        <v>153487</v>
      </c>
      <c r="D38" s="123">
        <f>VLOOKUP($A38,'Change in Proportion Calc'!$A$5:$P$319,13,FALSE)</f>
        <v>153487</v>
      </c>
      <c r="E38" s="123">
        <f>VLOOKUP($A38,'Change in Proportion Calc'!$A$5:$P$319,13,FALSE)</f>
        <v>153487</v>
      </c>
      <c r="F38" s="123">
        <f>VLOOKUP($A38,'Change in Proportion Calc'!$A$5:$P$319,13,FALSE)</f>
        <v>153487</v>
      </c>
      <c r="G38" s="123">
        <f>VLOOKUP($A38,'Change in Proportion Calc'!$A$5:$P$319,16,FALSE)</f>
        <v>136601</v>
      </c>
      <c r="H38" s="167"/>
      <c r="I38" s="123">
        <v>-140841</v>
      </c>
      <c r="J38" s="123">
        <v>-140841</v>
      </c>
      <c r="K38" s="123">
        <v>-140841</v>
      </c>
      <c r="L38" s="123">
        <v>-140841</v>
      </c>
      <c r="M38" s="123">
        <v>-138022</v>
      </c>
      <c r="N38" s="167"/>
      <c r="O38" s="84">
        <v>-489282</v>
      </c>
      <c r="P38" s="84">
        <v>-489282</v>
      </c>
      <c r="Q38" s="84">
        <v>-489282</v>
      </c>
      <c r="R38" s="85">
        <v>-479496</v>
      </c>
      <c r="S38" s="167"/>
      <c r="T38" s="84">
        <v>-60928</v>
      </c>
      <c r="U38" s="84">
        <v>-60928</v>
      </c>
      <c r="V38" s="85">
        <v>-38995</v>
      </c>
      <c r="X38" s="84">
        <v>68177</v>
      </c>
      <c r="Y38" s="84">
        <v>49086</v>
      </c>
      <c r="AA38" s="85">
        <f>VLOOKUP(A38,'Change in Proportion Calc'!$A$5:$H$319,8,FALSE)+I38+O38+T38+X38</f>
        <v>-469388</v>
      </c>
      <c r="AC38" s="84">
        <f t="shared" si="2"/>
        <v>799635</v>
      </c>
      <c r="AD38" s="84">
        <f t="shared" si="0"/>
        <v>2118528</v>
      </c>
      <c r="AF38" s="84">
        <f>VLOOKUP(A38,'OPEB Amounts_Report'!$A$10:$G$324,6,FALSE)</f>
        <v>4186746</v>
      </c>
      <c r="AG38" s="85">
        <f t="shared" si="1"/>
        <v>-3387111</v>
      </c>
    </row>
    <row r="39" spans="1:33">
      <c r="A39" s="164">
        <v>26078</v>
      </c>
      <c r="B39" s="168" t="s">
        <v>31</v>
      </c>
      <c r="C39" s="123">
        <f>VLOOKUP($A39,'Change in Proportion Calc'!$A$5:$P$319,12,FALSE)</f>
        <v>-10519</v>
      </c>
      <c r="D39" s="123">
        <f>VLOOKUP($A39,'Change in Proportion Calc'!$A$5:$P$319,13,FALSE)</f>
        <v>-10519</v>
      </c>
      <c r="E39" s="123">
        <f>VLOOKUP($A39,'Change in Proportion Calc'!$A$5:$P$319,13,FALSE)</f>
        <v>-10519</v>
      </c>
      <c r="F39" s="123">
        <f>VLOOKUP($A39,'Change in Proportion Calc'!$A$5:$P$319,13,FALSE)</f>
        <v>-10519</v>
      </c>
      <c r="G39" s="123">
        <f>VLOOKUP($A39,'Change in Proportion Calc'!$A$5:$P$319,16,FALSE)</f>
        <v>-9364</v>
      </c>
      <c r="H39" s="167"/>
      <c r="I39" s="123">
        <v>-10529</v>
      </c>
      <c r="J39" s="123">
        <v>-10529</v>
      </c>
      <c r="K39" s="123">
        <v>-10529</v>
      </c>
      <c r="L39" s="123">
        <v>-10529</v>
      </c>
      <c r="M39" s="123">
        <v>-10316</v>
      </c>
      <c r="N39" s="167"/>
      <c r="O39" s="84">
        <v>16229</v>
      </c>
      <c r="P39" s="84">
        <v>16229</v>
      </c>
      <c r="Q39" s="84">
        <v>16229</v>
      </c>
      <c r="R39" s="85">
        <v>15906</v>
      </c>
      <c r="S39" s="167"/>
      <c r="T39" s="84">
        <v>-7180</v>
      </c>
      <c r="U39" s="84">
        <v>-7180</v>
      </c>
      <c r="V39" s="85">
        <v>-4593</v>
      </c>
      <c r="X39" s="84">
        <v>10115</v>
      </c>
      <c r="Y39" s="84">
        <v>7281</v>
      </c>
      <c r="AA39" s="85">
        <f>VLOOKUP(A39,'Change in Proportion Calc'!$A$5:$H$319,8,FALSE)+I39+O39+T39+X39</f>
        <v>-1885</v>
      </c>
      <c r="AC39" s="84">
        <f t="shared" si="2"/>
        <v>55645</v>
      </c>
      <c r="AD39" s="84">
        <f t="shared" si="0"/>
        <v>105116</v>
      </c>
      <c r="AF39" s="84">
        <f>VLOOKUP(A39,'OPEB Amounts_Report'!$A$10:$G$324,6,FALSE)</f>
        <v>145207</v>
      </c>
      <c r="AG39" s="85">
        <f t="shared" si="1"/>
        <v>-89562</v>
      </c>
    </row>
    <row r="40" spans="1:33">
      <c r="A40" s="166">
        <v>16053</v>
      </c>
      <c r="B40" s="167" t="s">
        <v>32</v>
      </c>
      <c r="C40" s="123">
        <f>VLOOKUP($A40,'Change in Proportion Calc'!$A$5:$P$319,12,FALSE)</f>
        <v>-132561</v>
      </c>
      <c r="D40" s="123">
        <f>VLOOKUP($A40,'Change in Proportion Calc'!$A$5:$P$319,13,FALSE)</f>
        <v>-132561</v>
      </c>
      <c r="E40" s="123">
        <f>VLOOKUP($A40,'Change in Proportion Calc'!$A$5:$P$319,13,FALSE)</f>
        <v>-132561</v>
      </c>
      <c r="F40" s="123">
        <f>VLOOKUP($A40,'Change in Proportion Calc'!$A$5:$P$319,13,FALSE)</f>
        <v>-132561</v>
      </c>
      <c r="G40" s="123">
        <f>VLOOKUP($A40,'Change in Proportion Calc'!$A$5:$P$319,16,FALSE)</f>
        <v>-117981</v>
      </c>
      <c r="H40" s="167"/>
      <c r="I40" s="123">
        <v>326954</v>
      </c>
      <c r="J40" s="123">
        <v>326954</v>
      </c>
      <c r="K40" s="123">
        <v>326954</v>
      </c>
      <c r="L40" s="123">
        <v>326954</v>
      </c>
      <c r="M40" s="123">
        <v>320417</v>
      </c>
      <c r="N40" s="167"/>
      <c r="O40" s="84">
        <v>-181527</v>
      </c>
      <c r="P40" s="84">
        <v>-181527</v>
      </c>
      <c r="Q40" s="84">
        <v>-181527</v>
      </c>
      <c r="R40" s="85">
        <v>-177898</v>
      </c>
      <c r="S40" s="167"/>
      <c r="T40" s="84">
        <v>32598</v>
      </c>
      <c r="U40" s="84">
        <v>32598</v>
      </c>
      <c r="V40" s="85">
        <v>20865</v>
      </c>
      <c r="X40" s="84">
        <v>-264927</v>
      </c>
      <c r="Y40" s="84">
        <v>-190746</v>
      </c>
      <c r="AA40" s="85">
        <f>VLOOKUP(A40,'Change in Proportion Calc'!$A$5:$H$319,8,FALSE)+I40+O40+T40+X40</f>
        <v>-219463</v>
      </c>
      <c r="AC40" s="84">
        <f t="shared" si="2"/>
        <v>1354742</v>
      </c>
      <c r="AD40" s="84">
        <f t="shared" si="0"/>
        <v>1379923</v>
      </c>
      <c r="AF40" s="84">
        <f>VLOOKUP(A40,'OPEB Amounts_Report'!$A$10:$G$324,6,FALSE)</f>
        <v>4474256</v>
      </c>
      <c r="AG40" s="85">
        <f t="shared" si="1"/>
        <v>-3119514</v>
      </c>
    </row>
    <row r="41" spans="1:33">
      <c r="A41" s="164">
        <v>2123</v>
      </c>
      <c r="B41" s="168" t="s">
        <v>33</v>
      </c>
      <c r="C41" s="123">
        <f>VLOOKUP($A41,'Change in Proportion Calc'!$A$5:$P$319,12,FALSE)</f>
        <v>640744</v>
      </c>
      <c r="D41" s="123">
        <f>VLOOKUP($A41,'Change in Proportion Calc'!$A$5:$P$319,13,FALSE)</f>
        <v>640744</v>
      </c>
      <c r="E41" s="123">
        <f>VLOOKUP($A41,'Change in Proportion Calc'!$A$5:$P$319,13,FALSE)</f>
        <v>640744</v>
      </c>
      <c r="F41" s="123">
        <f>VLOOKUP($A41,'Change in Proportion Calc'!$A$5:$P$319,13,FALSE)</f>
        <v>640744</v>
      </c>
      <c r="G41" s="123">
        <f>VLOOKUP($A41,'Change in Proportion Calc'!$A$5:$P$319,16,FALSE)</f>
        <v>570262</v>
      </c>
      <c r="H41" s="167"/>
      <c r="I41" s="123">
        <v>-252363</v>
      </c>
      <c r="J41" s="123">
        <v>-252363</v>
      </c>
      <c r="K41" s="123">
        <v>-252363</v>
      </c>
      <c r="L41" s="123">
        <v>-252363</v>
      </c>
      <c r="M41" s="123">
        <v>-247317</v>
      </c>
      <c r="N41" s="167"/>
      <c r="O41" s="84">
        <v>749981</v>
      </c>
      <c r="P41" s="84">
        <v>749981</v>
      </c>
      <c r="Q41" s="84">
        <v>749981</v>
      </c>
      <c r="R41" s="85">
        <v>734979</v>
      </c>
      <c r="S41" s="167"/>
      <c r="T41" s="84">
        <v>-2045944</v>
      </c>
      <c r="U41" s="84">
        <v>-2045944</v>
      </c>
      <c r="V41" s="85">
        <v>-1309402</v>
      </c>
      <c r="X41" s="84">
        <v>940762</v>
      </c>
      <c r="Y41" s="84">
        <v>677349</v>
      </c>
      <c r="AA41" s="85">
        <f>VLOOKUP(A41,'Change in Proportion Calc'!$A$5:$H$319,8,FALSE)+I41+O41+T41+X41</f>
        <v>33180</v>
      </c>
      <c r="AC41" s="84">
        <f t="shared" si="2"/>
        <v>6045528</v>
      </c>
      <c r="AD41" s="84">
        <f t="shared" si="0"/>
        <v>4359752</v>
      </c>
      <c r="AF41" s="84">
        <f>VLOOKUP(A41,'OPEB Amounts_Report'!$A$10:$G$324,6,FALSE)</f>
        <v>8615230</v>
      </c>
      <c r="AG41" s="85">
        <f t="shared" si="1"/>
        <v>-2569702</v>
      </c>
    </row>
    <row r="42" spans="1:33">
      <c r="A42" s="166">
        <v>2150</v>
      </c>
      <c r="B42" s="167" t="s">
        <v>34</v>
      </c>
      <c r="C42" s="123">
        <f>VLOOKUP($A42,'Change in Proportion Calc'!$A$5:$P$319,12,FALSE)</f>
        <v>-19733</v>
      </c>
      <c r="D42" s="123">
        <f>VLOOKUP($A42,'Change in Proportion Calc'!$A$5:$P$319,13,FALSE)</f>
        <v>-19733</v>
      </c>
      <c r="E42" s="123">
        <f>VLOOKUP($A42,'Change in Proportion Calc'!$A$5:$P$319,13,FALSE)</f>
        <v>-19733</v>
      </c>
      <c r="F42" s="123">
        <f>VLOOKUP($A42,'Change in Proportion Calc'!$A$5:$P$319,13,FALSE)</f>
        <v>-19733</v>
      </c>
      <c r="G42" s="123">
        <f>VLOOKUP($A42,'Change in Proportion Calc'!$A$5:$P$319,16,FALSE)</f>
        <v>-17561</v>
      </c>
      <c r="H42" s="167"/>
      <c r="I42" s="123">
        <v>184170</v>
      </c>
      <c r="J42" s="123">
        <v>184170</v>
      </c>
      <c r="K42" s="123">
        <v>184170</v>
      </c>
      <c r="L42" s="123">
        <v>184170</v>
      </c>
      <c r="M42" s="123">
        <v>180487</v>
      </c>
      <c r="N42" s="167"/>
      <c r="O42" s="84">
        <v>7299</v>
      </c>
      <c r="P42" s="84">
        <v>7299</v>
      </c>
      <c r="Q42" s="84">
        <v>7299</v>
      </c>
      <c r="R42" s="85">
        <v>7152</v>
      </c>
      <c r="S42" s="167"/>
      <c r="T42" s="84">
        <v>5239</v>
      </c>
      <c r="U42" s="84">
        <v>5239</v>
      </c>
      <c r="V42" s="85">
        <v>3353</v>
      </c>
      <c r="X42" s="84">
        <v>22077</v>
      </c>
      <c r="Y42" s="84">
        <v>15897</v>
      </c>
      <c r="AA42" s="85">
        <f>VLOOKUP(A42,'Change in Proportion Calc'!$A$5:$H$319,8,FALSE)+I42+O42+T42+X42</f>
        <v>199052</v>
      </c>
      <c r="AC42" s="84">
        <f t="shared" si="2"/>
        <v>779236</v>
      </c>
      <c r="AD42" s="84">
        <f t="shared" si="0"/>
        <v>96493</v>
      </c>
      <c r="AF42" s="84">
        <f>VLOOKUP(A42,'OPEB Amounts_Report'!$A$10:$G$324,6,FALSE)</f>
        <v>383070</v>
      </c>
      <c r="AG42" s="85">
        <f t="shared" si="1"/>
        <v>396166</v>
      </c>
    </row>
    <row r="43" spans="1:33">
      <c r="A43" s="164">
        <v>2336</v>
      </c>
      <c r="B43" s="168" t="s">
        <v>35</v>
      </c>
      <c r="C43" s="123">
        <f>VLOOKUP($A43,'Change in Proportion Calc'!$A$5:$P$319,12,FALSE)</f>
        <v>-3759</v>
      </c>
      <c r="D43" s="123">
        <f>VLOOKUP($A43,'Change in Proportion Calc'!$A$5:$P$319,13,FALSE)</f>
        <v>-3759</v>
      </c>
      <c r="E43" s="123">
        <f>VLOOKUP($A43,'Change in Proportion Calc'!$A$5:$P$319,13,FALSE)</f>
        <v>-3759</v>
      </c>
      <c r="F43" s="123">
        <f>VLOOKUP($A43,'Change in Proportion Calc'!$A$5:$P$319,13,FALSE)</f>
        <v>-3759</v>
      </c>
      <c r="G43" s="123">
        <f>VLOOKUP($A43,'Change in Proportion Calc'!$A$5:$P$319,16,FALSE)</f>
        <v>-3346</v>
      </c>
      <c r="H43" s="167"/>
      <c r="I43" s="123">
        <v>-13039</v>
      </c>
      <c r="J43" s="123">
        <v>-13039</v>
      </c>
      <c r="K43" s="123">
        <v>-13039</v>
      </c>
      <c r="L43" s="123">
        <v>-13039</v>
      </c>
      <c r="M43" s="123">
        <v>-12780</v>
      </c>
      <c r="N43" s="167"/>
      <c r="O43" s="84">
        <v>7556</v>
      </c>
      <c r="P43" s="84">
        <v>7556</v>
      </c>
      <c r="Q43" s="84">
        <v>7556</v>
      </c>
      <c r="R43" s="85">
        <v>7407</v>
      </c>
      <c r="S43" s="167"/>
      <c r="T43" s="84">
        <v>26874</v>
      </c>
      <c r="U43" s="84">
        <v>26874</v>
      </c>
      <c r="V43" s="85">
        <v>17201</v>
      </c>
      <c r="X43" s="84">
        <v>681</v>
      </c>
      <c r="Y43" s="84">
        <v>489</v>
      </c>
      <c r="AA43" s="85">
        <f>VLOOKUP(A43,'Change in Proportion Calc'!$A$5:$H$319,8,FALSE)+I43+O43+T43+X43</f>
        <v>18313</v>
      </c>
      <c r="AC43" s="84">
        <f t="shared" si="2"/>
        <v>67083</v>
      </c>
      <c r="AD43" s="84">
        <f t="shared" si="0"/>
        <v>70279</v>
      </c>
      <c r="AF43" s="84">
        <f>VLOOKUP(A43,'OPEB Amounts_Report'!$A$10:$G$324,6,FALSE)</f>
        <v>114214</v>
      </c>
      <c r="AG43" s="85">
        <f t="shared" si="1"/>
        <v>-47131</v>
      </c>
    </row>
    <row r="44" spans="1:33">
      <c r="A44" s="166">
        <v>17126</v>
      </c>
      <c r="B44" s="167" t="s">
        <v>36</v>
      </c>
      <c r="C44" s="123">
        <f>VLOOKUP($A44,'Change in Proportion Calc'!$A$5:$P$319,12,FALSE)</f>
        <v>2435</v>
      </c>
      <c r="D44" s="123">
        <f>VLOOKUP($A44,'Change in Proportion Calc'!$A$5:$P$319,13,FALSE)</f>
        <v>2435</v>
      </c>
      <c r="E44" s="123">
        <f>VLOOKUP($A44,'Change in Proportion Calc'!$A$5:$P$319,13,FALSE)</f>
        <v>2435</v>
      </c>
      <c r="F44" s="123">
        <f>VLOOKUP($A44,'Change in Proportion Calc'!$A$5:$P$319,13,FALSE)</f>
        <v>2435</v>
      </c>
      <c r="G44" s="123">
        <f>VLOOKUP($A44,'Change in Proportion Calc'!$A$5:$P$319,16,FALSE)</f>
        <v>2165</v>
      </c>
      <c r="H44" s="167"/>
      <c r="I44" s="123">
        <v>-28022</v>
      </c>
      <c r="J44" s="123">
        <v>-28022</v>
      </c>
      <c r="K44" s="123">
        <v>-28022</v>
      </c>
      <c r="L44" s="123">
        <v>-28022</v>
      </c>
      <c r="M44" s="123">
        <v>-27464</v>
      </c>
      <c r="N44" s="167"/>
      <c r="O44" s="84">
        <v>21725</v>
      </c>
      <c r="P44" s="84">
        <v>21725</v>
      </c>
      <c r="Q44" s="84">
        <v>21725</v>
      </c>
      <c r="R44" s="85">
        <v>21290</v>
      </c>
      <c r="S44" s="167"/>
      <c r="T44" s="84">
        <v>-24352</v>
      </c>
      <c r="U44" s="84">
        <v>-24352</v>
      </c>
      <c r="V44" s="85">
        <v>-15584</v>
      </c>
      <c r="X44" s="84">
        <v>-30247</v>
      </c>
      <c r="Y44" s="84">
        <v>-21777</v>
      </c>
      <c r="AA44" s="85">
        <f>VLOOKUP(A44,'Change in Proportion Calc'!$A$5:$H$319,8,FALSE)+I44+O44+T44+X44</f>
        <v>-58462</v>
      </c>
      <c r="AC44" s="84">
        <f t="shared" si="2"/>
        <v>76645</v>
      </c>
      <c r="AD44" s="84">
        <f t="shared" si="0"/>
        <v>173243</v>
      </c>
      <c r="AF44" s="84">
        <f>VLOOKUP(A44,'OPEB Amounts_Report'!$A$10:$G$324,6,FALSE)</f>
        <v>336176</v>
      </c>
      <c r="AG44" s="85">
        <f>+AC44-AF44</f>
        <v>-259531</v>
      </c>
    </row>
    <row r="45" spans="1:33">
      <c r="A45" s="164">
        <v>3030</v>
      </c>
      <c r="B45" s="168" t="s">
        <v>37</v>
      </c>
      <c r="C45" s="123">
        <f>VLOOKUP($A45,'Change in Proportion Calc'!$A$5:$P$319,12,FALSE)</f>
        <v>-136590</v>
      </c>
      <c r="D45" s="123">
        <f>VLOOKUP($A45,'Change in Proportion Calc'!$A$5:$P$319,13,FALSE)</f>
        <v>-136590</v>
      </c>
      <c r="E45" s="123">
        <f>VLOOKUP($A45,'Change in Proportion Calc'!$A$5:$P$319,13,FALSE)</f>
        <v>-136590</v>
      </c>
      <c r="F45" s="123">
        <f>VLOOKUP($A45,'Change in Proportion Calc'!$A$5:$P$319,13,FALSE)</f>
        <v>-136590</v>
      </c>
      <c r="G45" s="123">
        <f>VLOOKUP($A45,'Change in Proportion Calc'!$A$5:$P$319,16,FALSE)</f>
        <v>-121567</v>
      </c>
      <c r="H45" s="167"/>
      <c r="I45" s="123">
        <v>-89332</v>
      </c>
      <c r="J45" s="123">
        <v>-89332</v>
      </c>
      <c r="K45" s="123">
        <v>-89332</v>
      </c>
      <c r="L45" s="123">
        <v>-89332</v>
      </c>
      <c r="M45" s="123">
        <v>-87543</v>
      </c>
      <c r="N45" s="167"/>
      <c r="O45" s="84">
        <v>-65861</v>
      </c>
      <c r="P45" s="84">
        <v>-65861</v>
      </c>
      <c r="Q45" s="84">
        <v>-65861</v>
      </c>
      <c r="R45" s="85">
        <v>-64546</v>
      </c>
      <c r="S45" s="167"/>
      <c r="T45" s="84">
        <v>-39778</v>
      </c>
      <c r="U45" s="84">
        <v>-39778</v>
      </c>
      <c r="V45" s="85">
        <v>-25457</v>
      </c>
      <c r="X45" s="84">
        <v>-35401</v>
      </c>
      <c r="Y45" s="84">
        <v>-25491</v>
      </c>
      <c r="AA45" s="85">
        <f>VLOOKUP(A45,'Change in Proportion Calc'!$A$5:$H$319,8,FALSE)+I45+O45+T45+X45</f>
        <v>-366962</v>
      </c>
      <c r="AC45" s="84">
        <f t="shared" si="2"/>
        <v>0</v>
      </c>
      <c r="AD45" s="84">
        <f t="shared" si="0"/>
        <v>1310460</v>
      </c>
      <c r="AF45" s="84">
        <f>VLOOKUP(A45,'OPEB Amounts_Report'!$A$10:$G$324,6,FALSE)</f>
        <v>958036</v>
      </c>
      <c r="AG45" s="85">
        <f>+AC45-AF45</f>
        <v>-958036</v>
      </c>
    </row>
    <row r="46" spans="1:33">
      <c r="A46" s="166">
        <v>2353</v>
      </c>
      <c r="B46" s="167" t="s">
        <v>38</v>
      </c>
      <c r="C46" s="123">
        <f>VLOOKUP($A46,'Change in Proportion Calc'!$A$5:$P$319,12,FALSE)</f>
        <v>159605</v>
      </c>
      <c r="D46" s="123">
        <f>VLOOKUP($A46,'Change in Proportion Calc'!$A$5:$P$319,13,FALSE)</f>
        <v>159605</v>
      </c>
      <c r="E46" s="123">
        <f>VLOOKUP($A46,'Change in Proportion Calc'!$A$5:$P$319,13,FALSE)</f>
        <v>159605</v>
      </c>
      <c r="F46" s="123">
        <f>VLOOKUP($A46,'Change in Proportion Calc'!$A$5:$P$319,13,FALSE)</f>
        <v>159605</v>
      </c>
      <c r="G46" s="123">
        <f>VLOOKUP($A46,'Change in Proportion Calc'!$A$5:$P$319,16,FALSE)</f>
        <v>142047</v>
      </c>
      <c r="H46" s="167"/>
      <c r="I46" s="123">
        <v>-72081</v>
      </c>
      <c r="J46" s="123">
        <v>-72081</v>
      </c>
      <c r="K46" s="123">
        <v>-72081</v>
      </c>
      <c r="L46" s="123">
        <v>-72081</v>
      </c>
      <c r="M46" s="123">
        <v>-70637</v>
      </c>
      <c r="N46" s="167"/>
      <c r="O46" s="84">
        <v>-1031</v>
      </c>
      <c r="P46" s="84">
        <v>-1031</v>
      </c>
      <c r="Q46" s="84">
        <v>-1031</v>
      </c>
      <c r="R46" s="85">
        <v>-1008</v>
      </c>
      <c r="S46" s="167"/>
      <c r="T46" s="84">
        <v>132917</v>
      </c>
      <c r="U46" s="84">
        <v>132917</v>
      </c>
      <c r="V46" s="85">
        <v>85065</v>
      </c>
      <c r="X46" s="84">
        <v>78583</v>
      </c>
      <c r="Y46" s="84">
        <v>56581</v>
      </c>
      <c r="AA46" s="85">
        <f>VLOOKUP(A46,'Change in Proportion Calc'!$A$5:$H$319,8,FALSE)+I46+O46+T46+X46</f>
        <v>297993</v>
      </c>
      <c r="AC46" s="84">
        <f t="shared" si="2"/>
        <v>1055030</v>
      </c>
      <c r="AD46" s="84">
        <f t="shared" si="0"/>
        <v>289950</v>
      </c>
      <c r="AF46" s="84">
        <f>VLOOKUP(A46,'OPEB Amounts_Report'!$A$10:$G$324,6,FALSE)</f>
        <v>313423</v>
      </c>
      <c r="AG46" s="85">
        <f t="shared" si="1"/>
        <v>741607</v>
      </c>
    </row>
    <row r="47" spans="1:33">
      <c r="A47" s="164">
        <v>3040</v>
      </c>
      <c r="B47" s="168" t="s">
        <v>39</v>
      </c>
      <c r="C47" s="123">
        <f>VLOOKUP($A47,'Change in Proportion Calc'!$A$5:$P$319,12,FALSE)</f>
        <v>9788</v>
      </c>
      <c r="D47" s="123">
        <f>VLOOKUP($A47,'Change in Proportion Calc'!$A$5:$P$319,13,FALSE)</f>
        <v>9788</v>
      </c>
      <c r="E47" s="123">
        <f>VLOOKUP($A47,'Change in Proportion Calc'!$A$5:$P$319,13,FALSE)</f>
        <v>9788</v>
      </c>
      <c r="F47" s="123">
        <f>VLOOKUP($A47,'Change in Proportion Calc'!$A$5:$P$319,13,FALSE)</f>
        <v>9788</v>
      </c>
      <c r="G47" s="123">
        <f>VLOOKUP($A47,'Change in Proportion Calc'!$A$5:$P$319,16,FALSE)</f>
        <v>8709</v>
      </c>
      <c r="H47" s="167"/>
      <c r="I47" s="123">
        <v>-16036</v>
      </c>
      <c r="J47" s="123">
        <v>-16036</v>
      </c>
      <c r="K47" s="123">
        <v>-16036</v>
      </c>
      <c r="L47" s="123">
        <v>-16036</v>
      </c>
      <c r="M47" s="123">
        <v>-15715</v>
      </c>
      <c r="N47" s="167"/>
      <c r="O47" s="84">
        <v>-37439</v>
      </c>
      <c r="P47" s="84">
        <v>-37439</v>
      </c>
      <c r="Q47" s="84">
        <v>-37439</v>
      </c>
      <c r="R47" s="85">
        <v>-36690</v>
      </c>
      <c r="S47" s="167"/>
      <c r="T47" s="84">
        <v>-83728</v>
      </c>
      <c r="U47" s="84">
        <v>-83728</v>
      </c>
      <c r="V47" s="85">
        <v>-53584</v>
      </c>
      <c r="X47" s="84">
        <v>-306747</v>
      </c>
      <c r="Y47" s="84">
        <v>-220858</v>
      </c>
      <c r="AA47" s="85">
        <f>VLOOKUP(A47,'Change in Proportion Calc'!$A$5:$H$319,8,FALSE)+I47+O47+T47+X47</f>
        <v>-434162</v>
      </c>
      <c r="AC47" s="84">
        <f t="shared" si="2"/>
        <v>47861</v>
      </c>
      <c r="AD47" s="84">
        <f t="shared" si="0"/>
        <v>533561</v>
      </c>
      <c r="AF47" s="84">
        <f>VLOOKUP(A47,'OPEB Amounts_Report'!$A$10:$G$324,6,FALSE)</f>
        <v>374728</v>
      </c>
      <c r="AG47" s="85">
        <f t="shared" si="1"/>
        <v>-326867</v>
      </c>
    </row>
    <row r="48" spans="1:33">
      <c r="A48" s="166">
        <v>2367</v>
      </c>
      <c r="B48" s="167" t="s">
        <v>40</v>
      </c>
      <c r="C48" s="123">
        <f>VLOOKUP($A48,'Change in Proportion Calc'!$A$5:$P$319,12,FALSE)</f>
        <v>24279</v>
      </c>
      <c r="D48" s="123">
        <f>VLOOKUP($A48,'Change in Proportion Calc'!$A$5:$P$319,13,FALSE)</f>
        <v>24279</v>
      </c>
      <c r="E48" s="123">
        <f>VLOOKUP($A48,'Change in Proportion Calc'!$A$5:$P$319,13,FALSE)</f>
        <v>24279</v>
      </c>
      <c r="F48" s="123">
        <f>VLOOKUP($A48,'Change in Proportion Calc'!$A$5:$P$319,13,FALSE)</f>
        <v>24279</v>
      </c>
      <c r="G48" s="123">
        <f>VLOOKUP($A48,'Change in Proportion Calc'!$A$5:$P$319,16,FALSE)</f>
        <v>21609</v>
      </c>
      <c r="H48" s="167"/>
      <c r="I48" s="123">
        <v>35716</v>
      </c>
      <c r="J48" s="123">
        <v>35716</v>
      </c>
      <c r="K48" s="123">
        <v>35716</v>
      </c>
      <c r="L48" s="123">
        <v>35716</v>
      </c>
      <c r="M48" s="123">
        <v>35004</v>
      </c>
      <c r="N48" s="167"/>
      <c r="O48" s="84">
        <v>-8845</v>
      </c>
      <c r="P48" s="84">
        <v>-8845</v>
      </c>
      <c r="Q48" s="84">
        <v>-8845</v>
      </c>
      <c r="R48" s="85">
        <v>-8666</v>
      </c>
      <c r="S48" s="167"/>
      <c r="T48" s="84">
        <v>26001</v>
      </c>
      <c r="U48" s="84">
        <v>26001</v>
      </c>
      <c r="V48" s="85">
        <v>16642</v>
      </c>
      <c r="X48" s="84">
        <v>-28496</v>
      </c>
      <c r="Y48" s="84">
        <v>-20518</v>
      </c>
      <c r="AA48" s="85">
        <f>VLOOKUP(A48,'Change in Proportion Calc'!$A$5:$H$319,8,FALSE)+I48+O48+T48+X48</f>
        <v>48655</v>
      </c>
      <c r="AC48" s="84">
        <f t="shared" si="2"/>
        <v>303520</v>
      </c>
      <c r="AD48" s="84">
        <f t="shared" si="0"/>
        <v>46874</v>
      </c>
      <c r="AF48" s="84">
        <f>VLOOKUP(A48,'OPEB Amounts_Report'!$A$10:$G$324,6,FALSE)</f>
        <v>266034</v>
      </c>
      <c r="AG48" s="85">
        <f t="shared" si="1"/>
        <v>37486</v>
      </c>
    </row>
    <row r="49" spans="1:33">
      <c r="A49" s="164">
        <v>9027</v>
      </c>
      <c r="B49" s="168" t="s">
        <v>41</v>
      </c>
      <c r="C49" s="123">
        <f>VLOOKUP($A49,'Change in Proportion Calc'!$A$5:$P$319,12,FALSE)</f>
        <v>8594</v>
      </c>
      <c r="D49" s="123">
        <f>VLOOKUP($A49,'Change in Proportion Calc'!$A$5:$P$319,13,FALSE)</f>
        <v>8594</v>
      </c>
      <c r="E49" s="123">
        <f>VLOOKUP($A49,'Change in Proportion Calc'!$A$5:$P$319,13,FALSE)</f>
        <v>8594</v>
      </c>
      <c r="F49" s="123">
        <f>VLOOKUP($A49,'Change in Proportion Calc'!$A$5:$P$319,13,FALSE)</f>
        <v>8594</v>
      </c>
      <c r="G49" s="123">
        <f>VLOOKUP($A49,'Change in Proportion Calc'!$A$5:$P$319,16,FALSE)</f>
        <v>7647</v>
      </c>
      <c r="H49" s="167"/>
      <c r="I49" s="123">
        <v>89493</v>
      </c>
      <c r="J49" s="123">
        <v>89493</v>
      </c>
      <c r="K49" s="123">
        <v>89493</v>
      </c>
      <c r="L49" s="123">
        <v>89493</v>
      </c>
      <c r="M49" s="123">
        <v>87705</v>
      </c>
      <c r="N49" s="167"/>
      <c r="O49" s="84">
        <v>-59250</v>
      </c>
      <c r="P49" s="84">
        <v>-59250</v>
      </c>
      <c r="Q49" s="84">
        <v>-59250</v>
      </c>
      <c r="R49" s="85">
        <v>-58063</v>
      </c>
      <c r="S49" s="167"/>
      <c r="T49" s="84">
        <v>9702</v>
      </c>
      <c r="U49" s="84">
        <v>9702</v>
      </c>
      <c r="V49" s="85">
        <v>6209</v>
      </c>
      <c r="X49" s="84">
        <v>66426</v>
      </c>
      <c r="Y49" s="84">
        <v>47828</v>
      </c>
      <c r="AA49" s="85">
        <f>VLOOKUP(A49,'Change in Proportion Calc'!$A$5:$H$319,8,FALSE)+I49+O49+T49+X49</f>
        <v>114965</v>
      </c>
      <c r="AC49" s="84">
        <f t="shared" si="2"/>
        <v>461946</v>
      </c>
      <c r="AD49" s="84">
        <f t="shared" si="0"/>
        <v>176563</v>
      </c>
      <c r="AF49" s="84">
        <f>VLOOKUP(A49,'OPEB Amounts_Report'!$A$10:$G$324,6,FALSE)</f>
        <v>371965</v>
      </c>
      <c r="AG49" s="85">
        <f t="shared" si="1"/>
        <v>89981</v>
      </c>
    </row>
    <row r="50" spans="1:33">
      <c r="A50" s="166">
        <v>2010</v>
      </c>
      <c r="B50" s="167" t="s">
        <v>42</v>
      </c>
      <c r="C50" s="123">
        <f>VLOOKUP($A50,'Change in Proportion Calc'!$A$5:$P$319,12,FALSE)</f>
        <v>36938</v>
      </c>
      <c r="D50" s="123">
        <f>VLOOKUP($A50,'Change in Proportion Calc'!$A$5:$P$319,13,FALSE)</f>
        <v>36938</v>
      </c>
      <c r="E50" s="123">
        <f>VLOOKUP($A50,'Change in Proportion Calc'!$A$5:$P$319,13,FALSE)</f>
        <v>36938</v>
      </c>
      <c r="F50" s="123">
        <f>VLOOKUP($A50,'Change in Proportion Calc'!$A$5:$P$319,13,FALSE)</f>
        <v>36938</v>
      </c>
      <c r="G50" s="123">
        <f>VLOOKUP($A50,'Change in Proportion Calc'!$A$5:$P$319,16,FALSE)</f>
        <v>32874</v>
      </c>
      <c r="H50" s="167"/>
      <c r="I50" s="123">
        <v>53615</v>
      </c>
      <c r="J50" s="123">
        <v>53615</v>
      </c>
      <c r="K50" s="123">
        <v>53615</v>
      </c>
      <c r="L50" s="123">
        <v>53615</v>
      </c>
      <c r="M50" s="123">
        <v>52543</v>
      </c>
      <c r="N50" s="167"/>
      <c r="O50" s="84">
        <v>-206172</v>
      </c>
      <c r="P50" s="84">
        <v>-206172</v>
      </c>
      <c r="Q50" s="84">
        <v>-206172</v>
      </c>
      <c r="R50" s="85">
        <v>-202047</v>
      </c>
      <c r="S50" s="167"/>
      <c r="T50" s="84">
        <v>-75772</v>
      </c>
      <c r="U50" s="84">
        <v>-75772</v>
      </c>
      <c r="V50" s="85">
        <v>-48495</v>
      </c>
      <c r="X50" s="84">
        <v>122835</v>
      </c>
      <c r="Y50" s="84">
        <v>88441</v>
      </c>
      <c r="AA50" s="85">
        <f>VLOOKUP(A50,'Change in Proportion Calc'!$A$5:$H$319,8,FALSE)+I50+O50+T50+X50</f>
        <v>-68556</v>
      </c>
      <c r="AC50" s="84">
        <f t="shared" si="2"/>
        <v>482455</v>
      </c>
      <c r="AD50" s="84">
        <f t="shared" si="0"/>
        <v>738658</v>
      </c>
      <c r="AF50" s="84">
        <f>VLOOKUP(A50,'OPEB Amounts_Report'!$A$10:$G$324,6,FALSE)</f>
        <v>1345136</v>
      </c>
      <c r="AG50" s="85">
        <f t="shared" si="1"/>
        <v>-862681</v>
      </c>
    </row>
    <row r="51" spans="1:33">
      <c r="A51" s="164">
        <v>2020</v>
      </c>
      <c r="B51" s="168" t="s">
        <v>43</v>
      </c>
      <c r="C51" s="123">
        <f>VLOOKUP($A51,'Change in Proportion Calc'!$A$5:$P$319,12,FALSE)</f>
        <v>-802408</v>
      </c>
      <c r="D51" s="123">
        <f>VLOOKUP($A51,'Change in Proportion Calc'!$A$5:$P$319,13,FALSE)</f>
        <v>-802408</v>
      </c>
      <c r="E51" s="123">
        <f>VLOOKUP($A51,'Change in Proportion Calc'!$A$5:$P$319,13,FALSE)</f>
        <v>-802408</v>
      </c>
      <c r="F51" s="123">
        <f>VLOOKUP($A51,'Change in Proportion Calc'!$A$5:$P$319,13,FALSE)</f>
        <v>-802408</v>
      </c>
      <c r="G51" s="123">
        <f>VLOOKUP($A51,'Change in Proportion Calc'!$A$5:$P$319,16,FALSE)</f>
        <v>-714141</v>
      </c>
      <c r="H51" s="167"/>
      <c r="I51" s="123">
        <v>468848</v>
      </c>
      <c r="J51" s="123">
        <v>468848</v>
      </c>
      <c r="K51" s="123">
        <v>468848</v>
      </c>
      <c r="L51" s="123">
        <v>468848</v>
      </c>
      <c r="M51" s="123">
        <v>459471</v>
      </c>
      <c r="N51" s="167"/>
      <c r="O51" s="84">
        <v>-1405505</v>
      </c>
      <c r="P51" s="84">
        <v>-1405505</v>
      </c>
      <c r="Q51" s="84">
        <v>-1405505</v>
      </c>
      <c r="R51" s="85">
        <v>-1377395</v>
      </c>
      <c r="S51" s="167"/>
      <c r="T51" s="84">
        <v>63839</v>
      </c>
      <c r="U51" s="84">
        <v>63839</v>
      </c>
      <c r="V51" s="85">
        <v>40855</v>
      </c>
      <c r="X51" s="84">
        <v>-977039</v>
      </c>
      <c r="Y51" s="84">
        <v>-703466</v>
      </c>
      <c r="AA51" s="85">
        <f>VLOOKUP(A51,'Change in Proportion Calc'!$A$5:$H$319,8,FALSE)+I51+O51+T51+X51</f>
        <v>-2652265</v>
      </c>
      <c r="AC51" s="84">
        <f t="shared" si="2"/>
        <v>1970709</v>
      </c>
      <c r="AD51" s="84">
        <f t="shared" si="0"/>
        <v>8815644</v>
      </c>
      <c r="AF51" s="84">
        <f>VLOOKUP(A51,'OPEB Amounts_Report'!$A$10:$G$324,6,FALSE)</f>
        <v>33624919</v>
      </c>
      <c r="AG51" s="85">
        <f t="shared" si="1"/>
        <v>-31654210</v>
      </c>
    </row>
    <row r="52" spans="1:33">
      <c r="A52" s="166">
        <v>2040</v>
      </c>
      <c r="B52" s="167" t="s">
        <v>44</v>
      </c>
      <c r="C52" s="123">
        <f>VLOOKUP($A52,'Change in Proportion Calc'!$A$5:$P$319,12,FALSE)</f>
        <v>40761</v>
      </c>
      <c r="D52" s="123">
        <f>VLOOKUP($A52,'Change in Proportion Calc'!$A$5:$P$319,13,FALSE)</f>
        <v>40761</v>
      </c>
      <c r="E52" s="123">
        <f>VLOOKUP($A52,'Change in Proportion Calc'!$A$5:$P$319,13,FALSE)</f>
        <v>40761</v>
      </c>
      <c r="F52" s="123">
        <f>VLOOKUP($A52,'Change in Proportion Calc'!$A$5:$P$319,13,FALSE)</f>
        <v>40761</v>
      </c>
      <c r="G52" s="123">
        <f>VLOOKUP($A52,'Change in Proportion Calc'!$A$5:$P$319,16,FALSE)</f>
        <v>36275</v>
      </c>
      <c r="H52" s="167"/>
      <c r="I52" s="123">
        <v>-6236</v>
      </c>
      <c r="J52" s="123">
        <v>-6236</v>
      </c>
      <c r="K52" s="123">
        <v>-6236</v>
      </c>
      <c r="L52" s="123">
        <v>-6236</v>
      </c>
      <c r="M52" s="123">
        <v>-6112</v>
      </c>
      <c r="N52" s="167"/>
      <c r="O52" s="84">
        <v>-51436</v>
      </c>
      <c r="P52" s="84">
        <v>-51436</v>
      </c>
      <c r="Q52" s="84">
        <v>-51436</v>
      </c>
      <c r="R52" s="85">
        <v>-50405</v>
      </c>
      <c r="S52" s="167"/>
      <c r="T52" s="84">
        <v>19307</v>
      </c>
      <c r="U52" s="84">
        <v>19307</v>
      </c>
      <c r="V52" s="85">
        <v>12356</v>
      </c>
      <c r="X52" s="84">
        <v>-18090</v>
      </c>
      <c r="Y52" s="84">
        <v>-13023</v>
      </c>
      <c r="AA52" s="85">
        <f>VLOOKUP(A52,'Change in Proportion Calc'!$A$5:$H$319,8,FALSE)+I52+O52+T52+X52</f>
        <v>-15695</v>
      </c>
      <c r="AC52" s="84">
        <f t="shared" si="2"/>
        <v>230982</v>
      </c>
      <c r="AD52" s="84">
        <f t="shared" si="0"/>
        <v>191120</v>
      </c>
      <c r="AF52" s="84">
        <f>VLOOKUP(A52,'OPEB Amounts_Report'!$A$10:$G$324,6,FALSE)</f>
        <v>463529</v>
      </c>
      <c r="AG52" s="85">
        <f t="shared" si="1"/>
        <v>-232547</v>
      </c>
    </row>
    <row r="53" spans="1:33">
      <c r="A53" s="164">
        <v>2060</v>
      </c>
      <c r="B53" s="168" t="s">
        <v>45</v>
      </c>
      <c r="C53" s="123">
        <f>VLOOKUP($A53,'Change in Proportion Calc'!$A$5:$P$319,12,FALSE)</f>
        <v>50890</v>
      </c>
      <c r="D53" s="123">
        <f>VLOOKUP($A53,'Change in Proportion Calc'!$A$5:$P$319,13,FALSE)</f>
        <v>50890</v>
      </c>
      <c r="E53" s="123">
        <f>VLOOKUP($A53,'Change in Proportion Calc'!$A$5:$P$319,13,FALSE)</f>
        <v>50890</v>
      </c>
      <c r="F53" s="123">
        <f>VLOOKUP($A53,'Change in Proportion Calc'!$A$5:$P$319,13,FALSE)</f>
        <v>50890</v>
      </c>
      <c r="G53" s="123">
        <f>VLOOKUP($A53,'Change in Proportion Calc'!$A$5:$P$319,16,FALSE)</f>
        <v>45291</v>
      </c>
      <c r="H53" s="167"/>
      <c r="I53" s="123">
        <v>141894</v>
      </c>
      <c r="J53" s="123">
        <v>141894</v>
      </c>
      <c r="K53" s="123">
        <v>141894</v>
      </c>
      <c r="L53" s="123">
        <v>141894</v>
      </c>
      <c r="M53" s="123">
        <v>139054</v>
      </c>
      <c r="N53" s="167"/>
      <c r="O53" s="84">
        <v>-68438</v>
      </c>
      <c r="P53" s="84">
        <v>-68438</v>
      </c>
      <c r="Q53" s="84">
        <v>-68438</v>
      </c>
      <c r="R53" s="85">
        <v>-67067</v>
      </c>
      <c r="S53" s="167"/>
      <c r="T53" s="84">
        <v>5821</v>
      </c>
      <c r="U53" s="84">
        <v>5821</v>
      </c>
      <c r="V53" s="85">
        <v>3726</v>
      </c>
      <c r="X53" s="84">
        <v>-11379</v>
      </c>
      <c r="Y53" s="84">
        <v>-8193</v>
      </c>
      <c r="AA53" s="85">
        <f>VLOOKUP(A53,'Change in Proportion Calc'!$A$5:$H$319,8,FALSE)+I53+O53+T53+X53</f>
        <v>118788</v>
      </c>
      <c r="AC53" s="84">
        <f t="shared" si="2"/>
        <v>823134</v>
      </c>
      <c r="AD53" s="84">
        <f t="shared" si="0"/>
        <v>212136</v>
      </c>
      <c r="AF53" s="84">
        <f>VLOOKUP(A53,'OPEB Amounts_Report'!$A$10:$G$324,6,FALSE)</f>
        <v>497012</v>
      </c>
      <c r="AG53" s="85">
        <f t="shared" si="1"/>
        <v>326122</v>
      </c>
    </row>
    <row r="54" spans="1:33">
      <c r="A54" s="166">
        <v>2090</v>
      </c>
      <c r="B54" s="167" t="s">
        <v>46</v>
      </c>
      <c r="C54" s="123">
        <f>VLOOKUP($A54,'Change in Proportion Calc'!$A$5:$P$319,12,FALSE)</f>
        <v>19539</v>
      </c>
      <c r="D54" s="123">
        <f>VLOOKUP($A54,'Change in Proportion Calc'!$A$5:$P$319,13,FALSE)</f>
        <v>19539</v>
      </c>
      <c r="E54" s="123">
        <f>VLOOKUP($A54,'Change in Proportion Calc'!$A$5:$P$319,13,FALSE)</f>
        <v>19539</v>
      </c>
      <c r="F54" s="123">
        <f>VLOOKUP($A54,'Change in Proportion Calc'!$A$5:$P$319,13,FALSE)</f>
        <v>19539</v>
      </c>
      <c r="G54" s="123">
        <f>VLOOKUP($A54,'Change in Proportion Calc'!$A$5:$P$319,16,FALSE)</f>
        <v>17391</v>
      </c>
      <c r="H54" s="167"/>
      <c r="I54" s="123">
        <v>-39280</v>
      </c>
      <c r="J54" s="123">
        <v>-39280</v>
      </c>
      <c r="K54" s="123">
        <v>-39280</v>
      </c>
      <c r="L54" s="123">
        <v>-39280</v>
      </c>
      <c r="M54" s="123">
        <v>-38494</v>
      </c>
      <c r="N54" s="167"/>
      <c r="O54" s="84">
        <v>-8587</v>
      </c>
      <c r="P54" s="84">
        <v>-8587</v>
      </c>
      <c r="Q54" s="84">
        <v>-8587</v>
      </c>
      <c r="R54" s="85">
        <v>-8415</v>
      </c>
      <c r="S54" s="167"/>
      <c r="T54" s="84">
        <v>-89161</v>
      </c>
      <c r="U54" s="84">
        <v>-89161</v>
      </c>
      <c r="V54" s="85">
        <v>-57062</v>
      </c>
      <c r="X54" s="84">
        <v>-245670</v>
      </c>
      <c r="Y54" s="84">
        <v>-176882</v>
      </c>
      <c r="AA54" s="85">
        <f>VLOOKUP(A54,'Change in Proportion Calc'!$A$5:$H$319,8,FALSE)+I54+O54+T54+X54</f>
        <v>-363159</v>
      </c>
      <c r="AC54" s="84">
        <f t="shared" si="2"/>
        <v>95547</v>
      </c>
      <c r="AD54" s="84">
        <f t="shared" si="0"/>
        <v>505028</v>
      </c>
      <c r="AF54" s="84">
        <f>VLOOKUP(A54,'OPEB Amounts_Report'!$A$10:$G$324,6,FALSE)</f>
        <v>370771</v>
      </c>
      <c r="AG54" s="85">
        <f t="shared" si="1"/>
        <v>-275224</v>
      </c>
    </row>
    <row r="55" spans="1:33">
      <c r="A55" s="164">
        <v>2110</v>
      </c>
      <c r="B55" s="168" t="s">
        <v>47</v>
      </c>
      <c r="C55" s="123">
        <f>VLOOKUP($A55,'Change in Proportion Calc'!$A$5:$P$319,12,FALSE)</f>
        <v>-119166</v>
      </c>
      <c r="D55" s="123">
        <f>VLOOKUP($A55,'Change in Proportion Calc'!$A$5:$P$319,13,FALSE)</f>
        <v>-119166</v>
      </c>
      <c r="E55" s="123">
        <f>VLOOKUP($A55,'Change in Proportion Calc'!$A$5:$P$319,13,FALSE)</f>
        <v>-119166</v>
      </c>
      <c r="F55" s="123">
        <f>VLOOKUP($A55,'Change in Proportion Calc'!$A$5:$P$319,13,FALSE)</f>
        <v>-119166</v>
      </c>
      <c r="G55" s="123">
        <f>VLOOKUP($A55,'Change in Proportion Calc'!$A$5:$P$319,16,FALSE)</f>
        <v>-106056</v>
      </c>
      <c r="H55" s="167"/>
      <c r="I55" s="123">
        <v>-91437</v>
      </c>
      <c r="J55" s="123">
        <v>-91437</v>
      </c>
      <c r="K55" s="123">
        <v>-91437</v>
      </c>
      <c r="L55" s="123">
        <v>-91437</v>
      </c>
      <c r="M55" s="123">
        <v>-89609</v>
      </c>
      <c r="N55" s="167"/>
      <c r="O55" s="84">
        <v>-121161</v>
      </c>
      <c r="P55" s="84">
        <v>-121161</v>
      </c>
      <c r="Q55" s="84">
        <v>-121161</v>
      </c>
      <c r="R55" s="85">
        <v>-118739</v>
      </c>
      <c r="S55" s="167"/>
      <c r="T55" s="84">
        <v>123506</v>
      </c>
      <c r="U55" s="84">
        <v>123506</v>
      </c>
      <c r="V55" s="85">
        <v>79042</v>
      </c>
      <c r="X55" s="84">
        <v>76054</v>
      </c>
      <c r="Y55" s="84">
        <v>54761</v>
      </c>
      <c r="AA55" s="85">
        <f>VLOOKUP(A55,'Change in Proportion Calc'!$A$5:$H$319,8,FALSE)+I55+O55+T55+X55</f>
        <v>-132204</v>
      </c>
      <c r="AC55" s="84">
        <f t="shared" si="2"/>
        <v>257309</v>
      </c>
      <c r="AD55" s="84">
        <f t="shared" si="0"/>
        <v>1307701</v>
      </c>
      <c r="AF55" s="84">
        <f>VLOOKUP(A55,'OPEB Amounts_Report'!$A$10:$G$324,6,FALSE)</f>
        <v>2969852</v>
      </c>
      <c r="AG55" s="85">
        <f t="shared" si="1"/>
        <v>-2712543</v>
      </c>
    </row>
    <row r="56" spans="1:33">
      <c r="A56" s="166">
        <v>2180</v>
      </c>
      <c r="B56" s="167" t="s">
        <v>48</v>
      </c>
      <c r="C56" s="123">
        <f>VLOOKUP($A56,'Change in Proportion Calc'!$A$5:$P$319,12,FALSE)</f>
        <v>-1836</v>
      </c>
      <c r="D56" s="123">
        <f>VLOOKUP($A56,'Change in Proportion Calc'!$A$5:$P$319,13,FALSE)</f>
        <v>-1836</v>
      </c>
      <c r="E56" s="123">
        <f>VLOOKUP($A56,'Change in Proportion Calc'!$A$5:$P$319,13,FALSE)</f>
        <v>-1836</v>
      </c>
      <c r="F56" s="123">
        <f>VLOOKUP($A56,'Change in Proportion Calc'!$A$5:$P$319,13,FALSE)</f>
        <v>-1836</v>
      </c>
      <c r="G56" s="123">
        <f>VLOOKUP($A56,'Change in Proportion Calc'!$A$5:$P$319,16,FALSE)</f>
        <v>-1632</v>
      </c>
      <c r="H56" s="167"/>
      <c r="I56" s="123">
        <v>31829</v>
      </c>
      <c r="J56" s="123">
        <v>31829</v>
      </c>
      <c r="K56" s="123">
        <v>31829</v>
      </c>
      <c r="L56" s="123">
        <v>31829</v>
      </c>
      <c r="M56" s="123">
        <v>31192</v>
      </c>
      <c r="N56" s="167"/>
      <c r="O56" s="84">
        <v>-184876</v>
      </c>
      <c r="P56" s="84">
        <v>-184876</v>
      </c>
      <c r="Q56" s="84">
        <v>-184876</v>
      </c>
      <c r="R56" s="85">
        <v>-181179</v>
      </c>
      <c r="S56" s="167"/>
      <c r="T56" s="84">
        <v>-69854</v>
      </c>
      <c r="U56" s="84">
        <v>-69854</v>
      </c>
      <c r="V56" s="85">
        <v>-44706</v>
      </c>
      <c r="X56" s="84">
        <v>75374</v>
      </c>
      <c r="Y56" s="84">
        <v>54268</v>
      </c>
      <c r="AA56" s="85">
        <f>VLOOKUP(A56,'Change in Proportion Calc'!$A$5:$H$319,8,FALSE)+I56+O56+T56+X56</f>
        <v>-149363</v>
      </c>
      <c r="AC56" s="84">
        <f t="shared" si="2"/>
        <v>180947</v>
      </c>
      <c r="AD56" s="84">
        <f t="shared" si="0"/>
        <v>674467</v>
      </c>
      <c r="AF56" s="84">
        <f>VLOOKUP(A56,'OPEB Amounts_Report'!$A$10:$G$324,6,FALSE)</f>
        <v>1416904</v>
      </c>
      <c r="AG56" s="85">
        <f t="shared" si="1"/>
        <v>-1235957</v>
      </c>
    </row>
    <row r="57" spans="1:33">
      <c r="A57" s="164">
        <v>2210</v>
      </c>
      <c r="B57" s="168" t="s">
        <v>49</v>
      </c>
      <c r="C57" s="123">
        <f>VLOOKUP($A57,'Change in Proportion Calc'!$A$5:$P$319,12,FALSE)</f>
        <v>-73664</v>
      </c>
      <c r="D57" s="123">
        <f>VLOOKUP($A57,'Change in Proportion Calc'!$A$5:$P$319,13,FALSE)</f>
        <v>-73664</v>
      </c>
      <c r="E57" s="123">
        <f>VLOOKUP($A57,'Change in Proportion Calc'!$A$5:$P$319,13,FALSE)</f>
        <v>-73664</v>
      </c>
      <c r="F57" s="123">
        <f>VLOOKUP($A57,'Change in Proportion Calc'!$A$5:$P$319,13,FALSE)</f>
        <v>-73664</v>
      </c>
      <c r="G57" s="123">
        <f>VLOOKUP($A57,'Change in Proportion Calc'!$A$5:$P$319,16,FALSE)</f>
        <v>-65563</v>
      </c>
      <c r="H57" s="167"/>
      <c r="I57" s="123">
        <v>8504</v>
      </c>
      <c r="J57" s="123">
        <v>8504</v>
      </c>
      <c r="K57" s="123">
        <v>8504</v>
      </c>
      <c r="L57" s="123">
        <v>8504</v>
      </c>
      <c r="M57" s="123">
        <v>8333</v>
      </c>
      <c r="N57" s="167"/>
      <c r="O57" s="84">
        <v>-77883</v>
      </c>
      <c r="P57" s="84">
        <v>-77883</v>
      </c>
      <c r="Q57" s="84">
        <v>-77883</v>
      </c>
      <c r="R57" s="85">
        <v>-76327</v>
      </c>
      <c r="S57" s="167"/>
      <c r="T57" s="84">
        <v>-40942</v>
      </c>
      <c r="U57" s="84">
        <v>-40942</v>
      </c>
      <c r="V57" s="85">
        <v>-26204</v>
      </c>
      <c r="X57" s="84">
        <v>-42501</v>
      </c>
      <c r="Y57" s="84">
        <v>-30601</v>
      </c>
      <c r="AA57" s="85">
        <f>VLOOKUP(A57,'Change in Proportion Calc'!$A$5:$H$319,8,FALSE)+I57+O57+T57+X57</f>
        <v>-226486</v>
      </c>
      <c r="AC57" s="84">
        <f t="shared" si="2"/>
        <v>33845</v>
      </c>
      <c r="AD57" s="84">
        <f t="shared" si="0"/>
        <v>690059</v>
      </c>
      <c r="AF57" s="84">
        <f>VLOOKUP(A57,'OPEB Amounts_Report'!$A$10:$G$324,6,FALSE)</f>
        <v>625880</v>
      </c>
      <c r="AG57" s="85">
        <f t="shared" si="1"/>
        <v>-592035</v>
      </c>
    </row>
    <row r="58" spans="1:33">
      <c r="A58" s="166">
        <v>2290</v>
      </c>
      <c r="B58" s="167" t="s">
        <v>50</v>
      </c>
      <c r="C58" s="123">
        <f>VLOOKUP($A58,'Change in Proportion Calc'!$A$5:$P$319,12,FALSE)</f>
        <v>-17932</v>
      </c>
      <c r="D58" s="123">
        <f>VLOOKUP($A58,'Change in Proportion Calc'!$A$5:$P$319,13,FALSE)</f>
        <v>-17932</v>
      </c>
      <c r="E58" s="123">
        <f>VLOOKUP($A58,'Change in Proportion Calc'!$A$5:$P$319,13,FALSE)</f>
        <v>-17932</v>
      </c>
      <c r="F58" s="123">
        <f>VLOOKUP($A58,'Change in Proportion Calc'!$A$5:$P$319,13,FALSE)</f>
        <v>-17932</v>
      </c>
      <c r="G58" s="123">
        <f>VLOOKUP($A58,'Change in Proportion Calc'!$A$5:$P$319,16,FALSE)</f>
        <v>-15960</v>
      </c>
      <c r="H58" s="167"/>
      <c r="I58" s="123">
        <v>31991</v>
      </c>
      <c r="J58" s="123">
        <v>31991</v>
      </c>
      <c r="K58" s="123">
        <v>31991</v>
      </c>
      <c r="L58" s="123">
        <v>31991</v>
      </c>
      <c r="M58" s="123">
        <v>31350</v>
      </c>
      <c r="N58" s="167"/>
      <c r="O58" s="84">
        <v>-9274</v>
      </c>
      <c r="P58" s="84">
        <v>-9274</v>
      </c>
      <c r="Q58" s="84">
        <v>-9274</v>
      </c>
      <c r="R58" s="85">
        <v>-9088</v>
      </c>
      <c r="S58" s="167"/>
      <c r="T58" s="84">
        <v>-70824</v>
      </c>
      <c r="U58" s="84">
        <v>-70824</v>
      </c>
      <c r="V58" s="85">
        <v>-45328</v>
      </c>
      <c r="X58" s="84">
        <v>49504</v>
      </c>
      <c r="Y58" s="84">
        <v>35641</v>
      </c>
      <c r="AA58" s="85">
        <f>VLOOKUP(A58,'Change in Proportion Calc'!$A$5:$H$319,8,FALSE)+I58+O58+T58+X58</f>
        <v>-16535</v>
      </c>
      <c r="AC58" s="84">
        <f t="shared" si="2"/>
        <v>162964</v>
      </c>
      <c r="AD58" s="84">
        <f t="shared" si="0"/>
        <v>231476</v>
      </c>
      <c r="AF58" s="84">
        <f>VLOOKUP(A58,'OPEB Amounts_Report'!$A$10:$G$324,6,FALSE)</f>
        <v>651104</v>
      </c>
      <c r="AG58" s="85">
        <f t="shared" si="1"/>
        <v>-488140</v>
      </c>
    </row>
    <row r="59" spans="1:33">
      <c r="A59" s="164">
        <v>2310</v>
      </c>
      <c r="B59" s="168" t="s">
        <v>51</v>
      </c>
      <c r="C59" s="123">
        <f>VLOOKUP($A59,'Change in Proportion Calc'!$A$5:$P$319,12,FALSE)</f>
        <v>-149104</v>
      </c>
      <c r="D59" s="123">
        <f>VLOOKUP($A59,'Change in Proportion Calc'!$A$5:$P$319,13,FALSE)</f>
        <v>-149104</v>
      </c>
      <c r="E59" s="123">
        <f>VLOOKUP($A59,'Change in Proportion Calc'!$A$5:$P$319,13,FALSE)</f>
        <v>-149104</v>
      </c>
      <c r="F59" s="123">
        <f>VLOOKUP($A59,'Change in Proportion Calc'!$A$5:$P$319,13,FALSE)</f>
        <v>-149104</v>
      </c>
      <c r="G59" s="123">
        <f>VLOOKUP($A59,'Change in Proportion Calc'!$A$5:$P$319,16,FALSE)</f>
        <v>-132704</v>
      </c>
      <c r="H59" s="167"/>
      <c r="I59" s="123">
        <v>-193970</v>
      </c>
      <c r="J59" s="123">
        <v>-193970</v>
      </c>
      <c r="K59" s="123">
        <v>-193970</v>
      </c>
      <c r="L59" s="123">
        <v>-193970</v>
      </c>
      <c r="M59" s="123">
        <v>-190089</v>
      </c>
      <c r="N59" s="167"/>
      <c r="O59" s="84">
        <v>-1080662</v>
      </c>
      <c r="P59" s="84">
        <v>-1080662</v>
      </c>
      <c r="Q59" s="84">
        <v>-1080662</v>
      </c>
      <c r="R59" s="85">
        <v>-1059051</v>
      </c>
      <c r="S59" s="167"/>
      <c r="T59" s="84">
        <v>875017</v>
      </c>
      <c r="U59" s="84">
        <v>875017</v>
      </c>
      <c r="V59" s="85">
        <v>560012</v>
      </c>
      <c r="X59" s="84">
        <v>-695481</v>
      </c>
      <c r="Y59" s="84">
        <v>-500747</v>
      </c>
      <c r="AA59" s="85">
        <f>VLOOKUP(A59,'Change in Proportion Calc'!$A$5:$H$319,8,FALSE)+I59+O59+T59+X59</f>
        <v>-1244200</v>
      </c>
      <c r="AC59" s="84">
        <f t="shared" si="2"/>
        <v>1435029</v>
      </c>
      <c r="AD59" s="84">
        <f t="shared" si="0"/>
        <v>5222241</v>
      </c>
      <c r="AF59" s="84">
        <f>VLOOKUP(A59,'OPEB Amounts_Report'!$A$10:$G$324,6,FALSE)</f>
        <v>4556536</v>
      </c>
      <c r="AG59" s="85">
        <f t="shared" si="1"/>
        <v>-3121507</v>
      </c>
    </row>
    <row r="60" spans="1:33">
      <c r="A60" s="166">
        <v>2330</v>
      </c>
      <c r="B60" s="167" t="s">
        <v>52</v>
      </c>
      <c r="C60" s="123">
        <f>VLOOKUP($A60,'Change in Proportion Calc'!$A$5:$P$319,12,FALSE)</f>
        <v>90479</v>
      </c>
      <c r="D60" s="123">
        <f>VLOOKUP($A60,'Change in Proportion Calc'!$A$5:$P$319,13,FALSE)</f>
        <v>90479</v>
      </c>
      <c r="E60" s="123">
        <f>VLOOKUP($A60,'Change in Proportion Calc'!$A$5:$P$319,13,FALSE)</f>
        <v>90479</v>
      </c>
      <c r="F60" s="123">
        <f>VLOOKUP($A60,'Change in Proportion Calc'!$A$5:$P$319,13,FALSE)</f>
        <v>90479</v>
      </c>
      <c r="G60" s="123">
        <f>VLOOKUP($A60,'Change in Proportion Calc'!$A$5:$P$319,16,FALSE)</f>
        <v>80526</v>
      </c>
      <c r="H60" s="167"/>
      <c r="I60" s="123">
        <v>-164490</v>
      </c>
      <c r="J60" s="123">
        <v>-164490</v>
      </c>
      <c r="K60" s="123">
        <v>-164490</v>
      </c>
      <c r="L60" s="123">
        <v>-164490</v>
      </c>
      <c r="M60" s="123">
        <v>-161198</v>
      </c>
      <c r="N60" s="167"/>
      <c r="O60" s="84">
        <v>-49289</v>
      </c>
      <c r="P60" s="84">
        <v>-49289</v>
      </c>
      <c r="Q60" s="84">
        <v>-49289</v>
      </c>
      <c r="R60" s="85">
        <v>-48302</v>
      </c>
      <c r="S60" s="167"/>
      <c r="T60" s="84">
        <v>-761408</v>
      </c>
      <c r="U60" s="84">
        <v>-761408</v>
      </c>
      <c r="V60" s="85">
        <v>-487299</v>
      </c>
      <c r="X60" s="84">
        <v>578968</v>
      </c>
      <c r="Y60" s="84">
        <v>416856</v>
      </c>
      <c r="AA60" s="85">
        <f>VLOOKUP(A60,'Change in Proportion Calc'!$A$5:$H$319,8,FALSE)+I60+O60+T60+X60</f>
        <v>-305740</v>
      </c>
      <c r="AC60" s="84">
        <f t="shared" si="2"/>
        <v>859298</v>
      </c>
      <c r="AD60" s="84">
        <f t="shared" si="0"/>
        <v>2050255</v>
      </c>
      <c r="AF60" s="84">
        <f>VLOOKUP(A60,'OPEB Amounts_Report'!$A$10:$G$324,6,FALSE)</f>
        <v>1623571</v>
      </c>
      <c r="AG60" s="85">
        <f t="shared" si="1"/>
        <v>-764273</v>
      </c>
    </row>
    <row r="61" spans="1:33">
      <c r="A61" s="164">
        <v>2380</v>
      </c>
      <c r="B61" s="168" t="s">
        <v>53</v>
      </c>
      <c r="C61" s="123">
        <f>VLOOKUP($A61,'Change in Proportion Calc'!$A$5:$P$319,12,FALSE)</f>
        <v>26163</v>
      </c>
      <c r="D61" s="123">
        <f>VLOOKUP($A61,'Change in Proportion Calc'!$A$5:$P$319,13,FALSE)</f>
        <v>26163</v>
      </c>
      <c r="E61" s="123">
        <f>VLOOKUP($A61,'Change in Proportion Calc'!$A$5:$P$319,13,FALSE)</f>
        <v>26163</v>
      </c>
      <c r="F61" s="123">
        <f>VLOOKUP($A61,'Change in Proportion Calc'!$A$5:$P$319,13,FALSE)</f>
        <v>26163</v>
      </c>
      <c r="G61" s="123">
        <f>VLOOKUP($A61,'Change in Proportion Calc'!$A$5:$P$319,16,FALSE)</f>
        <v>23283</v>
      </c>
      <c r="H61" s="167"/>
      <c r="I61" s="123">
        <v>56693</v>
      </c>
      <c r="J61" s="123">
        <v>56693</v>
      </c>
      <c r="K61" s="123">
        <v>56693</v>
      </c>
      <c r="L61" s="123">
        <v>56693</v>
      </c>
      <c r="M61" s="123">
        <v>55557</v>
      </c>
      <c r="N61" s="167"/>
      <c r="O61" s="84">
        <v>65174</v>
      </c>
      <c r="P61" s="84">
        <v>65174</v>
      </c>
      <c r="Q61" s="84">
        <v>65174</v>
      </c>
      <c r="R61" s="85">
        <v>63873</v>
      </c>
      <c r="S61" s="167"/>
      <c r="T61" s="84">
        <v>75384</v>
      </c>
      <c r="U61" s="84">
        <v>75384</v>
      </c>
      <c r="V61" s="85">
        <v>48246</v>
      </c>
      <c r="X61" s="84">
        <v>11282</v>
      </c>
      <c r="Y61" s="84">
        <v>8122</v>
      </c>
      <c r="AA61" s="85">
        <f>VLOOKUP(A61,'Change in Proportion Calc'!$A$5:$H$319,8,FALSE)+I61+O61+T61+X61</f>
        <v>234696</v>
      </c>
      <c r="AC61" s="84">
        <f t="shared" si="2"/>
        <v>679544</v>
      </c>
      <c r="AD61" s="84">
        <f t="shared" si="0"/>
        <v>0</v>
      </c>
      <c r="AF61" s="84">
        <f>VLOOKUP(A61,'OPEB Amounts_Report'!$A$10:$G$324,6,FALSE)</f>
        <v>246564</v>
      </c>
      <c r="AG61" s="85">
        <f t="shared" si="1"/>
        <v>432980</v>
      </c>
    </row>
    <row r="62" spans="1:33">
      <c r="A62" s="166">
        <v>2400</v>
      </c>
      <c r="B62" s="167" t="s">
        <v>54</v>
      </c>
      <c r="C62" s="123">
        <f>VLOOKUP($A62,'Change in Proportion Calc'!$A$5:$P$319,12,FALSE)</f>
        <v>-98683</v>
      </c>
      <c r="D62" s="123">
        <f>VLOOKUP($A62,'Change in Proportion Calc'!$A$5:$P$319,13,FALSE)</f>
        <v>-98683</v>
      </c>
      <c r="E62" s="123">
        <f>VLOOKUP($A62,'Change in Proportion Calc'!$A$5:$P$319,13,FALSE)</f>
        <v>-98683</v>
      </c>
      <c r="F62" s="123">
        <f>VLOOKUP($A62,'Change in Proportion Calc'!$A$5:$P$319,13,FALSE)</f>
        <v>-98683</v>
      </c>
      <c r="G62" s="123">
        <f>VLOOKUP($A62,'Change in Proportion Calc'!$A$5:$P$319,16,FALSE)</f>
        <v>-87826</v>
      </c>
      <c r="H62" s="167"/>
      <c r="I62" s="123">
        <v>120027</v>
      </c>
      <c r="J62" s="123">
        <v>120027</v>
      </c>
      <c r="K62" s="123">
        <v>120027</v>
      </c>
      <c r="L62" s="123">
        <v>120027</v>
      </c>
      <c r="M62" s="123">
        <v>117624</v>
      </c>
      <c r="N62" s="167"/>
      <c r="O62" s="84">
        <v>-1078516</v>
      </c>
      <c r="P62" s="84">
        <v>-1078516</v>
      </c>
      <c r="Q62" s="84">
        <v>-1078516</v>
      </c>
      <c r="R62" s="85">
        <v>-1056944</v>
      </c>
      <c r="S62" s="167"/>
      <c r="T62" s="84">
        <v>1359435</v>
      </c>
      <c r="U62" s="84">
        <v>1359435</v>
      </c>
      <c r="V62" s="85">
        <v>870037</v>
      </c>
      <c r="X62" s="84">
        <v>-343121</v>
      </c>
      <c r="Y62" s="84">
        <v>-247046</v>
      </c>
      <c r="AA62" s="85">
        <f>VLOOKUP(A62,'Change in Proportion Calc'!$A$5:$H$319,8,FALSE)+I62+O62+T62+X62</f>
        <v>-40858</v>
      </c>
      <c r="AC62" s="84">
        <f t="shared" si="2"/>
        <v>2707177</v>
      </c>
      <c r="AD62" s="84">
        <f t="shared" si="0"/>
        <v>3943580</v>
      </c>
      <c r="AF62" s="84">
        <f>VLOOKUP(A62,'OPEB Amounts_Report'!$A$10:$G$324,6,FALSE)</f>
        <v>7876305</v>
      </c>
      <c r="AG62" s="85">
        <f t="shared" si="1"/>
        <v>-5169128</v>
      </c>
    </row>
    <row r="63" spans="1:33">
      <c r="A63" s="164">
        <v>2410</v>
      </c>
      <c r="B63" s="168" t="s">
        <v>55</v>
      </c>
      <c r="C63" s="123">
        <f>VLOOKUP($A63,'Change in Proportion Calc'!$A$5:$P$319,12,FALSE)</f>
        <v>-9609</v>
      </c>
      <c r="D63" s="123">
        <f>VLOOKUP($A63,'Change in Proportion Calc'!$A$5:$P$319,13,FALSE)</f>
        <v>-9609</v>
      </c>
      <c r="E63" s="123">
        <f>VLOOKUP($A63,'Change in Proportion Calc'!$A$5:$P$319,13,FALSE)</f>
        <v>-9609</v>
      </c>
      <c r="F63" s="123">
        <f>VLOOKUP($A63,'Change in Proportion Calc'!$A$5:$P$319,13,FALSE)</f>
        <v>-9609</v>
      </c>
      <c r="G63" s="123">
        <f>VLOOKUP($A63,'Change in Proportion Calc'!$A$5:$P$319,16,FALSE)</f>
        <v>-8553</v>
      </c>
      <c r="H63" s="167"/>
      <c r="I63" s="123">
        <v>38146</v>
      </c>
      <c r="J63" s="123">
        <v>38146</v>
      </c>
      <c r="K63" s="123">
        <v>38146</v>
      </c>
      <c r="L63" s="123">
        <v>38146</v>
      </c>
      <c r="M63" s="123">
        <v>37383</v>
      </c>
      <c r="N63" s="167"/>
      <c r="O63" s="84">
        <v>98835</v>
      </c>
      <c r="P63" s="84">
        <v>98835</v>
      </c>
      <c r="Q63" s="84">
        <v>98835</v>
      </c>
      <c r="R63" s="85">
        <v>96860</v>
      </c>
      <c r="S63" s="167"/>
      <c r="T63" s="84">
        <v>-365181</v>
      </c>
      <c r="U63" s="84">
        <v>-365181</v>
      </c>
      <c r="V63" s="85">
        <v>-233714</v>
      </c>
      <c r="X63" s="84">
        <v>-17993</v>
      </c>
      <c r="Y63" s="84">
        <v>-12953</v>
      </c>
      <c r="AA63" s="85">
        <f>VLOOKUP(A63,'Change in Proportion Calc'!$A$5:$H$319,8,FALSE)+I63+O63+T63+X63</f>
        <v>-255802</v>
      </c>
      <c r="AC63" s="84">
        <f t="shared" si="2"/>
        <v>446351</v>
      </c>
      <c r="AD63" s="84">
        <f t="shared" si="0"/>
        <v>658837</v>
      </c>
      <c r="AF63" s="84">
        <f>VLOOKUP(A63,'OPEB Amounts_Report'!$A$10:$G$324,6,FALSE)</f>
        <v>961877</v>
      </c>
      <c r="AG63" s="85">
        <f t="shared" si="1"/>
        <v>-515526</v>
      </c>
    </row>
    <row r="64" spans="1:33">
      <c r="A64" s="166">
        <v>2500</v>
      </c>
      <c r="B64" s="167" t="s">
        <v>56</v>
      </c>
      <c r="C64" s="123">
        <f>VLOOKUP($A64,'Change in Proportion Calc'!$A$5:$P$319,12,FALSE)</f>
        <v>20243</v>
      </c>
      <c r="D64" s="123">
        <f>VLOOKUP($A64,'Change in Proportion Calc'!$A$5:$P$319,13,FALSE)</f>
        <v>20243</v>
      </c>
      <c r="E64" s="123">
        <f>VLOOKUP($A64,'Change in Proportion Calc'!$A$5:$P$319,13,FALSE)</f>
        <v>20243</v>
      </c>
      <c r="F64" s="123">
        <f>VLOOKUP($A64,'Change in Proportion Calc'!$A$5:$P$319,13,FALSE)</f>
        <v>20243</v>
      </c>
      <c r="G64" s="123">
        <f>VLOOKUP($A64,'Change in Proportion Calc'!$A$5:$P$319,16,FALSE)</f>
        <v>18016</v>
      </c>
      <c r="H64" s="167"/>
      <c r="I64" s="123">
        <v>5102</v>
      </c>
      <c r="J64" s="123">
        <v>5102</v>
      </c>
      <c r="K64" s="123">
        <v>5102</v>
      </c>
      <c r="L64" s="123">
        <v>5102</v>
      </c>
      <c r="M64" s="123">
        <v>5002</v>
      </c>
      <c r="N64" s="167"/>
      <c r="O64" s="84">
        <v>-12194</v>
      </c>
      <c r="P64" s="84">
        <v>-12194</v>
      </c>
      <c r="Q64" s="84">
        <v>-12194</v>
      </c>
      <c r="R64" s="85">
        <v>-11948</v>
      </c>
      <c r="S64" s="167"/>
      <c r="T64" s="84">
        <v>-48704</v>
      </c>
      <c r="U64" s="84">
        <v>-48704</v>
      </c>
      <c r="V64" s="85">
        <v>-31169</v>
      </c>
      <c r="X64" s="84">
        <v>50963</v>
      </c>
      <c r="Y64" s="84">
        <v>36691</v>
      </c>
      <c r="AA64" s="85">
        <f>VLOOKUP(A64,'Change in Proportion Calc'!$A$5:$H$319,8,FALSE)+I64+O64+T64+X64</f>
        <v>15410</v>
      </c>
      <c r="AC64" s="84">
        <f t="shared" si="2"/>
        <v>155987</v>
      </c>
      <c r="AD64" s="84">
        <f t="shared" si="0"/>
        <v>116209</v>
      </c>
      <c r="AF64" s="84">
        <f>VLOOKUP(A64,'OPEB Amounts_Report'!$A$10:$G$324,6,FALSE)</f>
        <v>154112</v>
      </c>
      <c r="AG64" s="85">
        <f t="shared" si="1"/>
        <v>1875</v>
      </c>
    </row>
    <row r="65" spans="1:33">
      <c r="A65" s="164">
        <v>2550</v>
      </c>
      <c r="B65" s="168" t="s">
        <v>57</v>
      </c>
      <c r="C65" s="123">
        <f>VLOOKUP($A65,'Change in Proportion Calc'!$A$5:$P$319,12,FALSE)</f>
        <v>-7516</v>
      </c>
      <c r="D65" s="123">
        <f>VLOOKUP($A65,'Change in Proportion Calc'!$A$5:$P$319,13,FALSE)</f>
        <v>-7516</v>
      </c>
      <c r="E65" s="123">
        <f>VLOOKUP($A65,'Change in Proportion Calc'!$A$5:$P$319,13,FALSE)</f>
        <v>-7516</v>
      </c>
      <c r="F65" s="123">
        <f>VLOOKUP($A65,'Change in Proportion Calc'!$A$5:$P$319,13,FALSE)</f>
        <v>-7516</v>
      </c>
      <c r="G65" s="123">
        <f>VLOOKUP($A65,'Change in Proportion Calc'!$A$5:$P$319,16,FALSE)</f>
        <v>-6687</v>
      </c>
      <c r="H65" s="167"/>
      <c r="I65" s="123">
        <v>-13039</v>
      </c>
      <c r="J65" s="123">
        <v>-13039</v>
      </c>
      <c r="K65" s="123">
        <v>-13039</v>
      </c>
      <c r="L65" s="123">
        <v>-13039</v>
      </c>
      <c r="M65" s="123">
        <v>-12780</v>
      </c>
      <c r="N65" s="167"/>
      <c r="O65" s="84">
        <v>-55643</v>
      </c>
      <c r="P65" s="84">
        <v>-55643</v>
      </c>
      <c r="Q65" s="84">
        <v>-55643</v>
      </c>
      <c r="R65" s="85">
        <v>-54531</v>
      </c>
      <c r="S65" s="167"/>
      <c r="T65" s="84">
        <v>-64906</v>
      </c>
      <c r="U65" s="84">
        <v>-64906</v>
      </c>
      <c r="V65" s="85">
        <v>-41539</v>
      </c>
      <c r="X65" s="84">
        <v>9434</v>
      </c>
      <c r="Y65" s="84">
        <v>6792</v>
      </c>
      <c r="AA65" s="85">
        <f>VLOOKUP(A65,'Change in Proportion Calc'!$A$5:$H$319,8,FALSE)+I65+O65+T65+X65</f>
        <v>-131669</v>
      </c>
      <c r="AC65" s="84">
        <f t="shared" si="2"/>
        <v>6792</v>
      </c>
      <c r="AD65" s="84">
        <f t="shared" si="0"/>
        <v>360910</v>
      </c>
      <c r="AF65" s="84">
        <f>VLOOKUP(A65,'OPEB Amounts_Report'!$A$10:$G$324,6,FALSE)</f>
        <v>577399</v>
      </c>
      <c r="AG65" s="85">
        <f t="shared" si="1"/>
        <v>-570607</v>
      </c>
    </row>
    <row r="66" spans="1:33">
      <c r="A66" s="166">
        <v>2570</v>
      </c>
      <c r="B66" s="167" t="s">
        <v>58</v>
      </c>
      <c r="C66" s="123">
        <f>VLOOKUP($A66,'Change in Proportion Calc'!$A$5:$P$319,12,FALSE)</f>
        <v>-22433</v>
      </c>
      <c r="D66" s="123">
        <f>VLOOKUP($A66,'Change in Proportion Calc'!$A$5:$P$319,13,FALSE)</f>
        <v>-22433</v>
      </c>
      <c r="E66" s="123">
        <f>VLOOKUP($A66,'Change in Proportion Calc'!$A$5:$P$319,13,FALSE)</f>
        <v>-22433</v>
      </c>
      <c r="F66" s="123">
        <f>VLOOKUP($A66,'Change in Proportion Calc'!$A$5:$P$319,13,FALSE)</f>
        <v>-22433</v>
      </c>
      <c r="G66" s="123">
        <f>VLOOKUP($A66,'Change in Proportion Calc'!$A$5:$P$319,16,FALSE)</f>
        <v>-19966</v>
      </c>
      <c r="H66" s="167"/>
      <c r="I66" s="123">
        <v>-8747</v>
      </c>
      <c r="J66" s="123">
        <v>-8747</v>
      </c>
      <c r="K66" s="123">
        <v>-8747</v>
      </c>
      <c r="L66" s="123">
        <v>-8747</v>
      </c>
      <c r="M66" s="123">
        <v>-8571</v>
      </c>
      <c r="N66" s="167"/>
      <c r="O66" s="84">
        <v>-34519</v>
      </c>
      <c r="P66" s="84">
        <v>-34519</v>
      </c>
      <c r="Q66" s="84">
        <v>-34519</v>
      </c>
      <c r="R66" s="85">
        <v>-33831</v>
      </c>
      <c r="S66" s="167"/>
      <c r="T66" s="84">
        <v>-28330</v>
      </c>
      <c r="U66" s="84">
        <v>-28330</v>
      </c>
      <c r="V66" s="85">
        <v>-18129</v>
      </c>
      <c r="X66" s="84">
        <v>-20521</v>
      </c>
      <c r="Y66" s="84">
        <v>-14776</v>
      </c>
      <c r="AA66" s="85">
        <f>VLOOKUP(A66,'Change in Proportion Calc'!$A$5:$H$319,8,FALSE)+I66+O66+T66+X66</f>
        <v>-114550</v>
      </c>
      <c r="AC66" s="84">
        <f t="shared" si="2"/>
        <v>0</v>
      </c>
      <c r="AD66" s="84">
        <f t="shared" si="0"/>
        <v>308614</v>
      </c>
      <c r="AF66" s="84">
        <f>VLOOKUP(A66,'OPEB Amounts_Report'!$A$10:$G$324,6,FALSE)</f>
        <v>357904</v>
      </c>
      <c r="AG66" s="85">
        <f t="shared" si="1"/>
        <v>-357904</v>
      </c>
    </row>
    <row r="67" spans="1:33">
      <c r="A67" s="164">
        <v>2620</v>
      </c>
      <c r="B67" s="168" t="s">
        <v>59</v>
      </c>
      <c r="C67" s="123">
        <f>VLOOKUP($A67,'Change in Proportion Calc'!$A$5:$P$319,12,FALSE)</f>
        <v>-102976</v>
      </c>
      <c r="D67" s="123">
        <f>VLOOKUP($A67,'Change in Proportion Calc'!$A$5:$P$319,13,FALSE)</f>
        <v>-102976</v>
      </c>
      <c r="E67" s="123">
        <f>VLOOKUP($A67,'Change in Proportion Calc'!$A$5:$P$319,13,FALSE)</f>
        <v>-102976</v>
      </c>
      <c r="F67" s="123">
        <f>VLOOKUP($A67,'Change in Proportion Calc'!$A$5:$P$319,13,FALSE)</f>
        <v>-102976</v>
      </c>
      <c r="G67" s="123">
        <f>VLOOKUP($A67,'Change in Proportion Calc'!$A$5:$P$319,16,FALSE)</f>
        <v>-91647</v>
      </c>
      <c r="H67" s="167"/>
      <c r="I67" s="123">
        <v>-125777</v>
      </c>
      <c r="J67" s="123">
        <v>-125777</v>
      </c>
      <c r="K67" s="123">
        <v>-125777</v>
      </c>
      <c r="L67" s="123">
        <v>-125777</v>
      </c>
      <c r="M67" s="123">
        <v>-123259</v>
      </c>
      <c r="N67" s="167"/>
      <c r="O67" s="84">
        <v>140224</v>
      </c>
      <c r="P67" s="84">
        <v>140224</v>
      </c>
      <c r="Q67" s="84">
        <v>140224</v>
      </c>
      <c r="R67" s="85">
        <v>137421</v>
      </c>
      <c r="S67" s="167"/>
      <c r="T67" s="84">
        <v>-90616</v>
      </c>
      <c r="U67" s="84">
        <v>-90616</v>
      </c>
      <c r="V67" s="85">
        <v>-57994</v>
      </c>
      <c r="X67" s="84">
        <v>-356912</v>
      </c>
      <c r="Y67" s="84">
        <v>-256976</v>
      </c>
      <c r="AA67" s="85">
        <f>VLOOKUP(A67,'Change in Proportion Calc'!$A$5:$H$319,8,FALSE)+I67+O67+T67+X67</f>
        <v>-536057</v>
      </c>
      <c r="AC67" s="84">
        <f t="shared" si="2"/>
        <v>417869</v>
      </c>
      <c r="AD67" s="84">
        <f t="shared" si="0"/>
        <v>1409727</v>
      </c>
      <c r="AF67" s="84">
        <f>VLOOKUP(A67,'OPEB Amounts_Report'!$A$10:$G$324,6,FALSE)</f>
        <v>3426846</v>
      </c>
      <c r="AG67" s="85">
        <f t="shared" si="1"/>
        <v>-3008977</v>
      </c>
    </row>
    <row r="68" spans="1:33">
      <c r="A68" s="166">
        <v>2630</v>
      </c>
      <c r="B68" s="167" t="s">
        <v>60</v>
      </c>
      <c r="C68" s="123">
        <f>VLOOKUP($A68,'Change in Proportion Calc'!$A$5:$P$319,12,FALSE)</f>
        <v>367762</v>
      </c>
      <c r="D68" s="123">
        <f>VLOOKUP($A68,'Change in Proportion Calc'!$A$5:$P$319,13,FALSE)</f>
        <v>367762</v>
      </c>
      <c r="E68" s="123">
        <f>VLOOKUP($A68,'Change in Proportion Calc'!$A$5:$P$319,13,FALSE)</f>
        <v>367762</v>
      </c>
      <c r="F68" s="123">
        <f>VLOOKUP($A68,'Change in Proportion Calc'!$A$5:$P$319,13,FALSE)</f>
        <v>367762</v>
      </c>
      <c r="G68" s="123">
        <f>VLOOKUP($A68,'Change in Proportion Calc'!$A$5:$P$319,16,FALSE)</f>
        <v>327307</v>
      </c>
      <c r="H68" s="167"/>
      <c r="I68" s="123">
        <v>-158820</v>
      </c>
      <c r="J68" s="123">
        <v>-158820</v>
      </c>
      <c r="K68" s="123">
        <v>-158820</v>
      </c>
      <c r="L68" s="123">
        <v>-158820</v>
      </c>
      <c r="M68" s="123">
        <v>-155646</v>
      </c>
      <c r="N68" s="167"/>
      <c r="O68" s="84">
        <v>-206000</v>
      </c>
      <c r="P68" s="84">
        <v>-206000</v>
      </c>
      <c r="Q68" s="84">
        <v>-206000</v>
      </c>
      <c r="R68" s="85">
        <v>-201880</v>
      </c>
      <c r="S68" s="167"/>
      <c r="T68" s="84">
        <v>150574</v>
      </c>
      <c r="U68" s="84">
        <v>150574</v>
      </c>
      <c r="V68" s="85">
        <v>96367</v>
      </c>
      <c r="X68" s="84">
        <v>241682</v>
      </c>
      <c r="Y68" s="84">
        <v>174013</v>
      </c>
      <c r="AA68" s="85">
        <f>VLOOKUP(A68,'Change in Proportion Calc'!$A$5:$H$319,8,FALSE)+I68+O68+T68+X68</f>
        <v>395198</v>
      </c>
      <c r="AC68" s="84">
        <f t="shared" si="2"/>
        <v>2219309</v>
      </c>
      <c r="AD68" s="84">
        <f t="shared" si="0"/>
        <v>1245986</v>
      </c>
      <c r="AF68" s="84">
        <f>VLOOKUP(A68,'OPEB Amounts_Report'!$A$10:$G$324,6,FALSE)</f>
        <v>2932558</v>
      </c>
      <c r="AG68" s="85">
        <f t="shared" si="1"/>
        <v>-713249</v>
      </c>
    </row>
    <row r="69" spans="1:33">
      <c r="A69" s="164">
        <v>2690</v>
      </c>
      <c r="B69" s="168" t="s">
        <v>61</v>
      </c>
      <c r="C69" s="123">
        <f>VLOOKUP($A69,'Change in Proportion Calc'!$A$5:$P$319,12,FALSE)</f>
        <v>-122146</v>
      </c>
      <c r="D69" s="123">
        <f>VLOOKUP($A69,'Change in Proportion Calc'!$A$5:$P$319,13,FALSE)</f>
        <v>-122146</v>
      </c>
      <c r="E69" s="123">
        <f>VLOOKUP($A69,'Change in Proportion Calc'!$A$5:$P$319,13,FALSE)</f>
        <v>-122146</v>
      </c>
      <c r="F69" s="123">
        <f>VLOOKUP($A69,'Change in Proportion Calc'!$A$5:$P$319,13,FALSE)</f>
        <v>-122146</v>
      </c>
      <c r="G69" s="123">
        <f>VLOOKUP($A69,'Change in Proportion Calc'!$A$5:$P$319,16,FALSE)</f>
        <v>-108712</v>
      </c>
      <c r="H69" s="167"/>
      <c r="I69" s="123">
        <v>-985885</v>
      </c>
      <c r="J69" s="123">
        <v>-985885</v>
      </c>
      <c r="K69" s="123">
        <v>-985885</v>
      </c>
      <c r="L69" s="123">
        <v>-985885</v>
      </c>
      <c r="M69" s="123">
        <v>-966165</v>
      </c>
      <c r="N69" s="167"/>
      <c r="O69" s="84">
        <v>-759855</v>
      </c>
      <c r="P69" s="84">
        <v>-759855</v>
      </c>
      <c r="Q69" s="84">
        <v>-759855</v>
      </c>
      <c r="R69" s="85">
        <v>-744660</v>
      </c>
      <c r="S69" s="167"/>
      <c r="T69" s="84">
        <v>-723570</v>
      </c>
      <c r="U69" s="84">
        <v>-723570</v>
      </c>
      <c r="V69" s="85">
        <v>-463085</v>
      </c>
      <c r="X69" s="84">
        <v>699274</v>
      </c>
      <c r="Y69" s="84">
        <v>503478</v>
      </c>
      <c r="AA69" s="85">
        <f>VLOOKUP(A69,'Change in Proportion Calc'!$A$5:$H$319,8,FALSE)+I69+O69+T69+X69</f>
        <v>-1892183</v>
      </c>
      <c r="AC69" s="84">
        <f t="shared" si="2"/>
        <v>503478</v>
      </c>
      <c r="AD69" s="84">
        <f t="shared" si="0"/>
        <v>7972141</v>
      </c>
      <c r="AF69" s="84">
        <f>VLOOKUP(A69,'OPEB Amounts_Report'!$A$10:$G$324,6,FALSE)</f>
        <v>6645685</v>
      </c>
      <c r="AG69" s="85">
        <f t="shared" si="1"/>
        <v>-6142207</v>
      </c>
    </row>
    <row r="70" spans="1:33">
      <c r="A70" s="166">
        <v>2710</v>
      </c>
      <c r="B70" s="167" t="s">
        <v>62</v>
      </c>
      <c r="C70" s="123">
        <f>VLOOKUP($A70,'Change in Proportion Calc'!$A$5:$P$319,12,FALSE)</f>
        <v>-18074</v>
      </c>
      <c r="D70" s="123">
        <f>VLOOKUP($A70,'Change in Proportion Calc'!$A$5:$P$319,13,FALSE)</f>
        <v>-18074</v>
      </c>
      <c r="E70" s="123">
        <f>VLOOKUP($A70,'Change in Proportion Calc'!$A$5:$P$319,13,FALSE)</f>
        <v>-18074</v>
      </c>
      <c r="F70" s="123">
        <f>VLOOKUP($A70,'Change in Proportion Calc'!$A$5:$P$319,13,FALSE)</f>
        <v>-18074</v>
      </c>
      <c r="G70" s="123">
        <f>VLOOKUP($A70,'Change in Proportion Calc'!$A$5:$P$319,16,FALSE)</f>
        <v>-16088</v>
      </c>
      <c r="H70" s="167"/>
      <c r="I70" s="123">
        <v>-25836</v>
      </c>
      <c r="J70" s="123">
        <v>-25836</v>
      </c>
      <c r="K70" s="123">
        <v>-25836</v>
      </c>
      <c r="L70" s="123">
        <v>-25836</v>
      </c>
      <c r="M70" s="123">
        <v>-25317</v>
      </c>
      <c r="N70" s="167"/>
      <c r="O70" s="84">
        <v>-44652</v>
      </c>
      <c r="P70" s="84">
        <v>-44652</v>
      </c>
      <c r="Q70" s="84">
        <v>-44652</v>
      </c>
      <c r="R70" s="85">
        <v>-43758</v>
      </c>
      <c r="S70" s="167"/>
      <c r="T70" s="84">
        <v>-30561</v>
      </c>
      <c r="U70" s="84">
        <v>-30561</v>
      </c>
      <c r="V70" s="85">
        <v>-19560</v>
      </c>
      <c r="X70" s="84">
        <v>9336</v>
      </c>
      <c r="Y70" s="84">
        <v>6724</v>
      </c>
      <c r="AA70" s="85">
        <f>VLOOKUP(A70,'Change in Proportion Calc'!$A$5:$H$319,8,FALSE)+I70+O70+T70+X70</f>
        <v>-109788</v>
      </c>
      <c r="AC70" s="84">
        <f t="shared" si="2"/>
        <v>6724</v>
      </c>
      <c r="AD70" s="84">
        <f t="shared" si="0"/>
        <v>374392</v>
      </c>
      <c r="AF70" s="84">
        <f>VLOOKUP(A70,'OPEB Amounts_Report'!$A$10:$G$324,6,FALSE)</f>
        <v>108543</v>
      </c>
      <c r="AG70" s="85">
        <f t="shared" si="1"/>
        <v>-101819</v>
      </c>
    </row>
    <row r="71" spans="1:33">
      <c r="A71" s="164">
        <v>2730</v>
      </c>
      <c r="B71" s="168" t="s">
        <v>63</v>
      </c>
      <c r="C71" s="123">
        <f>VLOOKUP($A71,'Change in Proportion Calc'!$A$5:$P$319,12,FALSE)</f>
        <v>7827</v>
      </c>
      <c r="D71" s="123">
        <f>VLOOKUP($A71,'Change in Proportion Calc'!$A$5:$P$319,13,FALSE)</f>
        <v>7827</v>
      </c>
      <c r="E71" s="123">
        <f>VLOOKUP($A71,'Change in Proportion Calc'!$A$5:$P$319,13,FALSE)</f>
        <v>7827</v>
      </c>
      <c r="F71" s="123">
        <f>VLOOKUP($A71,'Change in Proportion Calc'!$A$5:$P$319,13,FALSE)</f>
        <v>7827</v>
      </c>
      <c r="G71" s="123">
        <f>VLOOKUP($A71,'Change in Proportion Calc'!$A$5:$P$319,16,FALSE)</f>
        <v>6967</v>
      </c>
      <c r="H71" s="167"/>
      <c r="I71" s="123">
        <v>22839</v>
      </c>
      <c r="J71" s="123">
        <v>22839</v>
      </c>
      <c r="K71" s="123">
        <v>22839</v>
      </c>
      <c r="L71" s="123">
        <v>22839</v>
      </c>
      <c r="M71" s="123">
        <v>22382</v>
      </c>
      <c r="N71" s="167"/>
      <c r="O71" s="84">
        <v>-52809</v>
      </c>
      <c r="P71" s="84">
        <v>-52809</v>
      </c>
      <c r="Q71" s="84">
        <v>-52809</v>
      </c>
      <c r="R71" s="85">
        <v>-51755</v>
      </c>
      <c r="S71" s="167"/>
      <c r="T71" s="84">
        <v>-60734</v>
      </c>
      <c r="U71" s="84">
        <v>-60734</v>
      </c>
      <c r="V71" s="85">
        <v>-38870</v>
      </c>
      <c r="X71" s="84">
        <v>-15464</v>
      </c>
      <c r="Y71" s="84">
        <v>-11133</v>
      </c>
      <c r="AA71" s="85">
        <f>VLOOKUP(A71,'Change in Proportion Calc'!$A$5:$H$319,8,FALSE)+I71+O71+T71+X71</f>
        <v>-98341</v>
      </c>
      <c r="AC71" s="84">
        <f t="shared" si="2"/>
        <v>129174</v>
      </c>
      <c r="AD71" s="84">
        <f t="shared" si="0"/>
        <v>268110</v>
      </c>
      <c r="AF71" s="84">
        <f>VLOOKUP(A71,'OPEB Amounts_Report'!$A$10:$G$324,6,FALSE)</f>
        <v>501329</v>
      </c>
      <c r="AG71" s="85">
        <f t="shared" si="1"/>
        <v>-372155</v>
      </c>
    </row>
    <row r="72" spans="1:33">
      <c r="A72" s="166">
        <v>2950</v>
      </c>
      <c r="B72" s="167" t="s">
        <v>64</v>
      </c>
      <c r="C72" s="123">
        <f>VLOOKUP($A72,'Change in Proportion Calc'!$A$5:$P$319,12,FALSE)</f>
        <v>-12109</v>
      </c>
      <c r="D72" s="123">
        <f>VLOOKUP($A72,'Change in Proportion Calc'!$A$5:$P$319,13,FALSE)</f>
        <v>-12109</v>
      </c>
      <c r="E72" s="123">
        <f>VLOOKUP($A72,'Change in Proportion Calc'!$A$5:$P$319,13,FALSE)</f>
        <v>-12109</v>
      </c>
      <c r="F72" s="123">
        <f>VLOOKUP($A72,'Change in Proportion Calc'!$A$5:$P$319,13,FALSE)</f>
        <v>-12109</v>
      </c>
      <c r="G72" s="123">
        <f>VLOOKUP($A72,'Change in Proportion Calc'!$A$5:$P$319,16,FALSE)</f>
        <v>-10775</v>
      </c>
      <c r="H72" s="167"/>
      <c r="I72" s="123">
        <v>26889</v>
      </c>
      <c r="J72" s="123">
        <v>26889</v>
      </c>
      <c r="K72" s="123">
        <v>26889</v>
      </c>
      <c r="L72" s="123">
        <v>26889</v>
      </c>
      <c r="M72" s="123">
        <v>26349</v>
      </c>
      <c r="N72" s="167"/>
      <c r="O72" s="84">
        <v>-76509</v>
      </c>
      <c r="P72" s="84">
        <v>-76509</v>
      </c>
      <c r="Q72" s="84">
        <v>-76509</v>
      </c>
      <c r="R72" s="85">
        <v>-74981</v>
      </c>
      <c r="S72" s="167"/>
      <c r="T72" s="84">
        <v>21927</v>
      </c>
      <c r="U72" s="84">
        <v>21927</v>
      </c>
      <c r="V72" s="85">
        <v>14031</v>
      </c>
      <c r="X72" s="84">
        <v>150845</v>
      </c>
      <c r="Y72" s="84">
        <v>108607</v>
      </c>
      <c r="AA72" s="85">
        <f>VLOOKUP(A72,'Change in Proportion Calc'!$A$5:$H$319,8,FALSE)+I72+O72+T72+X72</f>
        <v>111043</v>
      </c>
      <c r="AC72" s="84">
        <f t="shared" si="2"/>
        <v>251581</v>
      </c>
      <c r="AD72" s="84">
        <f t="shared" si="0"/>
        <v>287210</v>
      </c>
      <c r="AF72" s="84">
        <f>VLOOKUP(A72,'OPEB Amounts_Report'!$A$10:$G$324,6,FALSE)</f>
        <v>412183</v>
      </c>
      <c r="AG72" s="85">
        <f t="shared" si="1"/>
        <v>-160602</v>
      </c>
    </row>
    <row r="73" spans="1:33">
      <c r="A73" s="164">
        <v>2760</v>
      </c>
      <c r="B73" s="168" t="s">
        <v>65</v>
      </c>
      <c r="C73" s="123">
        <f>VLOOKUP($A73,'Change in Proportion Calc'!$A$5:$P$319,12,FALSE)</f>
        <v>-47002</v>
      </c>
      <c r="D73" s="123">
        <f>VLOOKUP($A73,'Change in Proportion Calc'!$A$5:$P$319,13,FALSE)</f>
        <v>-47002</v>
      </c>
      <c r="E73" s="123">
        <f>VLOOKUP($A73,'Change in Proportion Calc'!$A$5:$P$319,13,FALSE)</f>
        <v>-47002</v>
      </c>
      <c r="F73" s="123">
        <f>VLOOKUP($A73,'Change in Proportion Calc'!$A$5:$P$319,13,FALSE)</f>
        <v>-47002</v>
      </c>
      <c r="G73" s="123">
        <f>VLOOKUP($A73,'Change in Proportion Calc'!$A$5:$P$319,16,FALSE)</f>
        <v>-41834</v>
      </c>
      <c r="H73" s="167"/>
      <c r="I73" s="123">
        <v>45840</v>
      </c>
      <c r="J73" s="123">
        <v>45840</v>
      </c>
      <c r="K73" s="123">
        <v>45840</v>
      </c>
      <c r="L73" s="123">
        <v>45840</v>
      </c>
      <c r="M73" s="123">
        <v>44923</v>
      </c>
      <c r="N73" s="167"/>
      <c r="O73" s="84">
        <v>7814</v>
      </c>
      <c r="P73" s="84">
        <v>7814</v>
      </c>
      <c r="Q73" s="84">
        <v>7814</v>
      </c>
      <c r="R73" s="85">
        <v>7658</v>
      </c>
      <c r="S73" s="167"/>
      <c r="T73" s="84">
        <v>-50256</v>
      </c>
      <c r="U73" s="84">
        <v>-50256</v>
      </c>
      <c r="V73" s="85">
        <v>-32164</v>
      </c>
      <c r="X73" s="84">
        <v>12060</v>
      </c>
      <c r="Y73" s="84">
        <v>8682</v>
      </c>
      <c r="AA73" s="85">
        <f>VLOOKUP(A73,'Change in Proportion Calc'!$A$5:$H$319,8,FALSE)+I73+O73+T73+X73</f>
        <v>-31544</v>
      </c>
      <c r="AC73" s="84">
        <f t="shared" ref="AC73:AC136" si="3">IF(SUM(C73:G73)&gt;0,SUM(C73:G73),0)+IF(SUM(J73:M73)&gt;0,SUM(J73:M73),0)+IF(SUM(P73:R73)&gt;0,SUM(P73:R73),0)+IF(SUM(U73:V73)&gt;0,SUM(U73:V73),0)+IF(SUM(Y73)&gt;0,SUM(Y73),0)</f>
        <v>214411</v>
      </c>
      <c r="AD73" s="84">
        <f t="shared" ref="AD73:AD136" si="4">IF(SUM(C73:G73)&lt;0,-SUM(C73:G73),0)+IF(SUM(J73:M73)&lt;0,-SUM(J73:M73),0)+IF(SUM(P73:R73)&lt;0,-SUM(P73:R73),0)+IF(SUM(U73:V73)&lt;0,-SUM(U73:V73),0)+IF(SUM(Y73)&lt;0,-SUM(Y73),0)</f>
        <v>312262</v>
      </c>
      <c r="AF73" s="84">
        <f>VLOOKUP(A73,'OPEB Amounts_Report'!$A$10:$G$324,6,FALSE)</f>
        <v>368435</v>
      </c>
      <c r="AG73" s="85">
        <f t="shared" ref="AG73:AG137" si="5">+AC73-AF73</f>
        <v>-154024</v>
      </c>
    </row>
    <row r="74" spans="1:33">
      <c r="A74" s="166">
        <v>2780</v>
      </c>
      <c r="B74" s="167" t="s">
        <v>66</v>
      </c>
      <c r="C74" s="123">
        <f>VLOOKUP($A74,'Change in Proportion Calc'!$A$5:$P$319,12,FALSE)</f>
        <v>-9934</v>
      </c>
      <c r="D74" s="123">
        <f>VLOOKUP($A74,'Change in Proportion Calc'!$A$5:$P$319,13,FALSE)</f>
        <v>-9934</v>
      </c>
      <c r="E74" s="123">
        <f>VLOOKUP($A74,'Change in Proportion Calc'!$A$5:$P$319,13,FALSE)</f>
        <v>-9934</v>
      </c>
      <c r="F74" s="123">
        <f>VLOOKUP($A74,'Change in Proportion Calc'!$A$5:$P$319,13,FALSE)</f>
        <v>-9934</v>
      </c>
      <c r="G74" s="123">
        <f>VLOOKUP($A74,'Change in Proportion Calc'!$A$5:$P$319,16,FALSE)</f>
        <v>-8839</v>
      </c>
      <c r="H74" s="167"/>
      <c r="I74" s="123">
        <v>2754</v>
      </c>
      <c r="J74" s="123">
        <v>2754</v>
      </c>
      <c r="K74" s="123">
        <v>2754</v>
      </c>
      <c r="L74" s="123">
        <v>2754</v>
      </c>
      <c r="M74" s="123">
        <v>2697</v>
      </c>
      <c r="N74" s="167"/>
      <c r="O74" s="84">
        <v>-9446</v>
      </c>
      <c r="P74" s="84">
        <v>-9446</v>
      </c>
      <c r="Q74" s="84">
        <v>-9446</v>
      </c>
      <c r="R74" s="85">
        <v>-9255</v>
      </c>
      <c r="S74" s="167"/>
      <c r="T74" s="84">
        <v>6306</v>
      </c>
      <c r="U74" s="84">
        <v>6306</v>
      </c>
      <c r="V74" s="85">
        <v>4037</v>
      </c>
      <c r="X74" s="84">
        <v>583</v>
      </c>
      <c r="Y74" s="84">
        <v>422</v>
      </c>
      <c r="AA74" s="85">
        <f>VLOOKUP(A74,'Change in Proportion Calc'!$A$5:$H$319,8,FALSE)+I74+O74+T74+X74</f>
        <v>-9737</v>
      </c>
      <c r="AC74" s="84">
        <f t="shared" si="3"/>
        <v>21724</v>
      </c>
      <c r="AD74" s="84">
        <f t="shared" si="4"/>
        <v>76722</v>
      </c>
      <c r="AF74" s="84">
        <f>VLOOKUP(A74,'OPEB Amounts_Report'!$A$10:$G$324,6,FALSE)</f>
        <v>29288</v>
      </c>
      <c r="AG74" s="85">
        <f t="shared" si="5"/>
        <v>-7564</v>
      </c>
    </row>
    <row r="75" spans="1:33">
      <c r="A75" s="164">
        <v>2810</v>
      </c>
      <c r="B75" s="168" t="s">
        <v>67</v>
      </c>
      <c r="C75" s="123">
        <f>VLOOKUP($A75,'Change in Proportion Calc'!$A$5:$P$319,12,FALSE)</f>
        <v>-21311</v>
      </c>
      <c r="D75" s="123">
        <f>VLOOKUP($A75,'Change in Proportion Calc'!$A$5:$P$319,13,FALSE)</f>
        <v>-21311</v>
      </c>
      <c r="E75" s="123">
        <f>VLOOKUP($A75,'Change in Proportion Calc'!$A$5:$P$319,13,FALSE)</f>
        <v>-21311</v>
      </c>
      <c r="F75" s="123">
        <f>VLOOKUP($A75,'Change in Proportion Calc'!$A$5:$P$319,13,FALSE)</f>
        <v>-21311</v>
      </c>
      <c r="G75" s="123">
        <f>VLOOKUP($A75,'Change in Proportion Calc'!$A$5:$P$319,16,FALSE)</f>
        <v>-18966</v>
      </c>
      <c r="H75" s="167"/>
      <c r="I75" s="123">
        <v>-131851</v>
      </c>
      <c r="J75" s="123">
        <v>-131851</v>
      </c>
      <c r="K75" s="123">
        <v>-131851</v>
      </c>
      <c r="L75" s="123">
        <v>-131851</v>
      </c>
      <c r="M75" s="123">
        <v>-129213</v>
      </c>
      <c r="N75" s="167"/>
      <c r="O75" s="84">
        <v>-42334</v>
      </c>
      <c r="P75" s="84">
        <v>-42334</v>
      </c>
      <c r="Q75" s="84">
        <v>-42334</v>
      </c>
      <c r="R75" s="85">
        <v>-41485</v>
      </c>
      <c r="S75" s="167"/>
      <c r="T75" s="84">
        <v>-137380</v>
      </c>
      <c r="U75" s="84">
        <v>-137380</v>
      </c>
      <c r="V75" s="85">
        <v>-87921</v>
      </c>
      <c r="X75" s="84">
        <v>141119</v>
      </c>
      <c r="Y75" s="84">
        <v>101607</v>
      </c>
      <c r="AA75" s="85">
        <f>VLOOKUP(A75,'Change in Proportion Calc'!$A$5:$H$319,8,FALSE)+I75+O75+T75+X75</f>
        <v>-191757</v>
      </c>
      <c r="AC75" s="84">
        <f t="shared" si="3"/>
        <v>101607</v>
      </c>
      <c r="AD75" s="84">
        <f t="shared" si="4"/>
        <v>980430</v>
      </c>
      <c r="AF75" s="84">
        <f>VLOOKUP(A75,'OPEB Amounts_Report'!$A$10:$G$324,6,FALSE)</f>
        <v>266903</v>
      </c>
      <c r="AG75" s="85">
        <f t="shared" si="5"/>
        <v>-165296</v>
      </c>
    </row>
    <row r="76" spans="1:33">
      <c r="A76" s="166">
        <v>18056</v>
      </c>
      <c r="B76" s="167" t="s">
        <v>68</v>
      </c>
      <c r="C76" s="123">
        <f>VLOOKUP($A76,'Change in Proportion Calc'!$A$5:$P$319,12,FALSE)</f>
        <v>-5028</v>
      </c>
      <c r="D76" s="123">
        <f>VLOOKUP($A76,'Change in Proportion Calc'!$A$5:$P$319,13,FALSE)</f>
        <v>-5028</v>
      </c>
      <c r="E76" s="123">
        <f>VLOOKUP($A76,'Change in Proportion Calc'!$A$5:$P$319,13,FALSE)</f>
        <v>-5028</v>
      </c>
      <c r="F76" s="123">
        <f>VLOOKUP($A76,'Change in Proportion Calc'!$A$5:$P$319,13,FALSE)</f>
        <v>-5028</v>
      </c>
      <c r="G76" s="123">
        <f>VLOOKUP($A76,'Change in Proportion Calc'!$A$5:$P$319,16,FALSE)</f>
        <v>-4477</v>
      </c>
      <c r="H76" s="167"/>
      <c r="I76" s="123">
        <v>-63739</v>
      </c>
      <c r="J76" s="123">
        <v>-63739</v>
      </c>
      <c r="K76" s="123">
        <v>-63739</v>
      </c>
      <c r="L76" s="123">
        <v>-63739</v>
      </c>
      <c r="M76" s="123">
        <v>-62462</v>
      </c>
      <c r="N76" s="167"/>
      <c r="O76" s="84">
        <v>56588</v>
      </c>
      <c r="P76" s="84">
        <v>56588</v>
      </c>
      <c r="Q76" s="84">
        <v>56588</v>
      </c>
      <c r="R76" s="85">
        <v>55455</v>
      </c>
      <c r="S76" s="167"/>
      <c r="T76" s="84">
        <v>-54428</v>
      </c>
      <c r="U76" s="84">
        <v>-54428</v>
      </c>
      <c r="V76" s="85">
        <v>-34833</v>
      </c>
      <c r="X76" s="84">
        <v>169324</v>
      </c>
      <c r="Y76" s="84">
        <v>121911</v>
      </c>
      <c r="AA76" s="85">
        <f>VLOOKUP(A76,'Change in Proportion Calc'!$A$5:$H$319,8,FALSE)+I76+O76+T76+X76</f>
        <v>102717</v>
      </c>
      <c r="AC76" s="84">
        <f t="shared" si="3"/>
        <v>290542</v>
      </c>
      <c r="AD76" s="84">
        <f t="shared" si="4"/>
        <v>367529</v>
      </c>
      <c r="AF76" s="84">
        <f>VLOOKUP(A76,'OPEB Amounts_Report'!$A$10:$G$324,6,FALSE)</f>
        <v>330204</v>
      </c>
      <c r="AG76" s="85">
        <f t="shared" si="5"/>
        <v>-39662</v>
      </c>
    </row>
    <row r="77" spans="1:33">
      <c r="A77" s="164">
        <v>15047</v>
      </c>
      <c r="B77" s="168" t="s">
        <v>69</v>
      </c>
      <c r="C77" s="123">
        <f>VLOOKUP($A77,'Change in Proportion Calc'!$A$5:$P$319,12,FALSE)</f>
        <v>50635</v>
      </c>
      <c r="D77" s="123">
        <f>VLOOKUP($A77,'Change in Proportion Calc'!$A$5:$P$319,13,FALSE)</f>
        <v>50635</v>
      </c>
      <c r="E77" s="123">
        <f>VLOOKUP($A77,'Change in Proportion Calc'!$A$5:$P$319,13,FALSE)</f>
        <v>50635</v>
      </c>
      <c r="F77" s="123">
        <f>VLOOKUP($A77,'Change in Proportion Calc'!$A$5:$P$319,13,FALSE)</f>
        <v>50635</v>
      </c>
      <c r="G77" s="123">
        <f>VLOOKUP($A77,'Change in Proportion Calc'!$A$5:$P$319,16,FALSE)</f>
        <v>45063</v>
      </c>
      <c r="H77" s="167"/>
      <c r="I77" s="123">
        <v>41871</v>
      </c>
      <c r="J77" s="123">
        <v>41871</v>
      </c>
      <c r="K77" s="123">
        <v>41871</v>
      </c>
      <c r="L77" s="123">
        <v>41871</v>
      </c>
      <c r="M77" s="123">
        <v>41036</v>
      </c>
      <c r="N77" s="167"/>
      <c r="O77" s="84">
        <v>59421</v>
      </c>
      <c r="P77" s="84">
        <v>59421</v>
      </c>
      <c r="Q77" s="84">
        <v>59421</v>
      </c>
      <c r="R77" s="85">
        <v>58235</v>
      </c>
      <c r="S77" s="167"/>
      <c r="T77" s="84">
        <v>-32598</v>
      </c>
      <c r="U77" s="84">
        <v>-32598</v>
      </c>
      <c r="V77" s="85">
        <v>-20865</v>
      </c>
      <c r="X77" s="84">
        <v>11185</v>
      </c>
      <c r="Y77" s="84">
        <v>8051</v>
      </c>
      <c r="AA77" s="85">
        <f>VLOOKUP(A77,'Change in Proportion Calc'!$A$5:$H$319,8,FALSE)+I77+O77+T77+X77</f>
        <v>130514</v>
      </c>
      <c r="AC77" s="84">
        <f t="shared" si="3"/>
        <v>599380</v>
      </c>
      <c r="AD77" s="84">
        <f t="shared" si="4"/>
        <v>53463</v>
      </c>
      <c r="AF77" s="84">
        <f>VLOOKUP(A77,'OPEB Amounts_Report'!$A$10:$G$324,6,FALSE)</f>
        <v>337477</v>
      </c>
      <c r="AG77" s="85">
        <f t="shared" si="5"/>
        <v>261903</v>
      </c>
    </row>
    <row r="78" spans="1:33">
      <c r="A78" s="166">
        <v>5012</v>
      </c>
      <c r="B78" s="167" t="s">
        <v>70</v>
      </c>
      <c r="C78" s="123">
        <f>VLOOKUP($A78,'Change in Proportion Calc'!$A$5:$P$319,12,FALSE)</f>
        <v>-193638</v>
      </c>
      <c r="D78" s="123">
        <f>VLOOKUP($A78,'Change in Proportion Calc'!$A$5:$P$319,13,FALSE)</f>
        <v>-193638</v>
      </c>
      <c r="E78" s="123">
        <f>VLOOKUP($A78,'Change in Proportion Calc'!$A$5:$P$319,13,FALSE)</f>
        <v>-193638</v>
      </c>
      <c r="F78" s="123">
        <f>VLOOKUP($A78,'Change in Proportion Calc'!$A$5:$P$319,13,FALSE)</f>
        <v>-193638</v>
      </c>
      <c r="G78" s="123">
        <f>VLOOKUP($A78,'Change in Proportion Calc'!$A$5:$P$319,16,FALSE)</f>
        <v>-172340</v>
      </c>
      <c r="H78" s="167"/>
      <c r="I78" s="123">
        <v>313267</v>
      </c>
      <c r="J78" s="123">
        <v>313267</v>
      </c>
      <c r="K78" s="123">
        <v>313267</v>
      </c>
      <c r="L78" s="123">
        <v>313267</v>
      </c>
      <c r="M78" s="123">
        <v>307003</v>
      </c>
      <c r="N78" s="167"/>
      <c r="O78" s="84">
        <v>196468</v>
      </c>
      <c r="P78" s="84">
        <v>196468</v>
      </c>
      <c r="Q78" s="84">
        <v>196468</v>
      </c>
      <c r="R78" s="85">
        <v>192541</v>
      </c>
      <c r="S78" s="167"/>
      <c r="T78" s="84">
        <v>-177933</v>
      </c>
      <c r="U78" s="84">
        <v>-177933</v>
      </c>
      <c r="V78" s="85">
        <v>-113879</v>
      </c>
      <c r="X78" s="84">
        <v>289143</v>
      </c>
      <c r="Y78" s="84">
        <v>208185</v>
      </c>
      <c r="AA78" s="85">
        <f>VLOOKUP(A78,'Change in Proportion Calc'!$A$5:$H$319,8,FALSE)+I78+O78+T78+X78</f>
        <v>427306</v>
      </c>
      <c r="AC78" s="84">
        <f t="shared" si="3"/>
        <v>2040466</v>
      </c>
      <c r="AD78" s="84">
        <f t="shared" si="4"/>
        <v>1238704</v>
      </c>
      <c r="AF78" s="84">
        <f>VLOOKUP(A78,'OPEB Amounts_Report'!$A$10:$G$324,6,FALSE)</f>
        <v>4913780</v>
      </c>
      <c r="AG78" s="85">
        <f t="shared" si="5"/>
        <v>-2873314</v>
      </c>
    </row>
    <row r="79" spans="1:33">
      <c r="A79" s="164">
        <v>8024</v>
      </c>
      <c r="B79" s="168" t="s">
        <v>71</v>
      </c>
      <c r="C79" s="123">
        <f>VLOOKUP($A79,'Change in Proportion Calc'!$A$5:$P$319,12,FALSE)</f>
        <v>-110372</v>
      </c>
      <c r="D79" s="123">
        <f>VLOOKUP($A79,'Change in Proportion Calc'!$A$5:$P$319,13,FALSE)</f>
        <v>-110372</v>
      </c>
      <c r="E79" s="123">
        <f>VLOOKUP($A79,'Change in Proportion Calc'!$A$5:$P$319,13,FALSE)</f>
        <v>-110372</v>
      </c>
      <c r="F79" s="123">
        <f>VLOOKUP($A79,'Change in Proportion Calc'!$A$5:$P$319,13,FALSE)</f>
        <v>-110372</v>
      </c>
      <c r="G79" s="123">
        <f>VLOOKUP($A79,'Change in Proportion Calc'!$A$5:$P$319,16,FALSE)</f>
        <v>-98231</v>
      </c>
      <c r="H79" s="167"/>
      <c r="I79" s="123">
        <v>-38308</v>
      </c>
      <c r="J79" s="123">
        <v>-38308</v>
      </c>
      <c r="K79" s="123">
        <v>-38308</v>
      </c>
      <c r="L79" s="123">
        <v>-38308</v>
      </c>
      <c r="M79" s="123">
        <v>-37542</v>
      </c>
      <c r="N79" s="167"/>
      <c r="O79" s="84">
        <v>-148725</v>
      </c>
      <c r="P79" s="84">
        <v>-148725</v>
      </c>
      <c r="Q79" s="84">
        <v>-148725</v>
      </c>
      <c r="R79" s="85">
        <v>-145752</v>
      </c>
      <c r="S79" s="167"/>
      <c r="T79" s="84">
        <v>376144</v>
      </c>
      <c r="U79" s="84">
        <v>376144</v>
      </c>
      <c r="V79" s="85">
        <v>240732</v>
      </c>
      <c r="X79" s="84">
        <v>103383</v>
      </c>
      <c r="Y79" s="84">
        <v>74438</v>
      </c>
      <c r="AA79" s="85">
        <f>VLOOKUP(A79,'Change in Proportion Calc'!$A$5:$H$319,8,FALSE)+I79+O79+T79+X79</f>
        <v>182122</v>
      </c>
      <c r="AC79" s="84">
        <f t="shared" si="3"/>
        <v>691314</v>
      </c>
      <c r="AD79" s="84">
        <f t="shared" si="4"/>
        <v>1135387</v>
      </c>
      <c r="AF79" s="84">
        <f>VLOOKUP(A79,'OPEB Amounts_Report'!$A$10:$G$324,6,FALSE)</f>
        <v>993825</v>
      </c>
      <c r="AG79" s="85">
        <f t="shared" si="5"/>
        <v>-302511</v>
      </c>
    </row>
    <row r="80" spans="1:33">
      <c r="A80" s="166">
        <v>3050</v>
      </c>
      <c r="B80" s="167" t="s">
        <v>72</v>
      </c>
      <c r="C80" s="123">
        <f>VLOOKUP($A80,'Change in Proportion Calc'!$A$5:$P$319,12,FALSE)</f>
        <v>-24850</v>
      </c>
      <c r="D80" s="123">
        <f>VLOOKUP($A80,'Change in Proportion Calc'!$A$5:$P$319,13,FALSE)</f>
        <v>-24850</v>
      </c>
      <c r="E80" s="123">
        <f>VLOOKUP($A80,'Change in Proportion Calc'!$A$5:$P$319,13,FALSE)</f>
        <v>-24850</v>
      </c>
      <c r="F80" s="123">
        <f>VLOOKUP($A80,'Change in Proportion Calc'!$A$5:$P$319,13,FALSE)</f>
        <v>-24850</v>
      </c>
      <c r="G80" s="123">
        <f>VLOOKUP($A80,'Change in Proportion Calc'!$A$5:$P$319,16,FALSE)</f>
        <v>-22115</v>
      </c>
      <c r="H80" s="167"/>
      <c r="I80" s="123">
        <v>10691</v>
      </c>
      <c r="J80" s="123">
        <v>10691</v>
      </c>
      <c r="K80" s="123">
        <v>10691</v>
      </c>
      <c r="L80" s="123">
        <v>10691</v>
      </c>
      <c r="M80" s="123">
        <v>10475</v>
      </c>
      <c r="N80" s="167"/>
      <c r="O80" s="84">
        <v>-27135</v>
      </c>
      <c r="P80" s="84">
        <v>-27135</v>
      </c>
      <c r="Q80" s="84">
        <v>-27135</v>
      </c>
      <c r="R80" s="85">
        <v>-26590</v>
      </c>
      <c r="S80" s="167"/>
      <c r="T80" s="84">
        <v>71212</v>
      </c>
      <c r="U80" s="84">
        <v>71212</v>
      </c>
      <c r="V80" s="85">
        <v>45577</v>
      </c>
      <c r="X80" s="84">
        <v>-21494</v>
      </c>
      <c r="Y80" s="84">
        <v>-15474</v>
      </c>
      <c r="AA80" s="85">
        <f>VLOOKUP(A80,'Change in Proportion Calc'!$A$5:$H$319,8,FALSE)+I80+O80+T80+X80</f>
        <v>8424</v>
      </c>
      <c r="AC80" s="84">
        <f t="shared" si="3"/>
        <v>159337</v>
      </c>
      <c r="AD80" s="84">
        <f t="shared" si="4"/>
        <v>217849</v>
      </c>
      <c r="AF80" s="84">
        <f>VLOOKUP(A80,'OPEB Amounts_Report'!$A$10:$G$324,6,FALSE)</f>
        <v>333666</v>
      </c>
      <c r="AG80" s="85">
        <f t="shared" si="5"/>
        <v>-174329</v>
      </c>
    </row>
    <row r="81" spans="1:33">
      <c r="A81" s="164">
        <v>2421</v>
      </c>
      <c r="B81" s="168" t="s">
        <v>73</v>
      </c>
      <c r="C81" s="123">
        <f>VLOOKUP($A81,'Change in Proportion Calc'!$A$5:$P$319,12,FALSE)</f>
        <v>35106</v>
      </c>
      <c r="D81" s="123">
        <f>VLOOKUP($A81,'Change in Proportion Calc'!$A$5:$P$319,13,FALSE)</f>
        <v>35106</v>
      </c>
      <c r="E81" s="123">
        <f>VLOOKUP($A81,'Change in Proportion Calc'!$A$5:$P$319,13,FALSE)</f>
        <v>35106</v>
      </c>
      <c r="F81" s="123">
        <f>VLOOKUP($A81,'Change in Proportion Calc'!$A$5:$P$319,13,FALSE)</f>
        <v>35106</v>
      </c>
      <c r="G81" s="123">
        <f>VLOOKUP($A81,'Change in Proportion Calc'!$A$5:$P$319,16,FALSE)</f>
        <v>31243</v>
      </c>
      <c r="H81" s="167"/>
      <c r="I81" s="123">
        <v>5912</v>
      </c>
      <c r="J81" s="123">
        <v>5912</v>
      </c>
      <c r="K81" s="123">
        <v>5912</v>
      </c>
      <c r="L81" s="123">
        <v>5912</v>
      </c>
      <c r="M81" s="123">
        <v>5795</v>
      </c>
      <c r="N81" s="167"/>
      <c r="O81" s="84">
        <v>-8587</v>
      </c>
      <c r="P81" s="84">
        <v>-8587</v>
      </c>
      <c r="Q81" s="84">
        <v>-8587</v>
      </c>
      <c r="R81" s="85">
        <v>-8415</v>
      </c>
      <c r="S81" s="167"/>
      <c r="T81" s="84">
        <v>-3493</v>
      </c>
      <c r="U81" s="84">
        <v>-3493</v>
      </c>
      <c r="V81" s="85">
        <v>-2234</v>
      </c>
      <c r="X81" s="84">
        <v>-21688</v>
      </c>
      <c r="Y81" s="84">
        <v>-15616</v>
      </c>
      <c r="AA81" s="85">
        <f>VLOOKUP(A81,'Change in Proportion Calc'!$A$5:$H$319,8,FALSE)+I81+O81+T81+X81</f>
        <v>7250</v>
      </c>
      <c r="AC81" s="84">
        <f t="shared" si="3"/>
        <v>195198</v>
      </c>
      <c r="AD81" s="84">
        <f t="shared" si="4"/>
        <v>46932</v>
      </c>
      <c r="AF81" s="84">
        <f>VLOOKUP(A81,'OPEB Amounts_Report'!$A$10:$G$324,6,FALSE)</f>
        <v>149392</v>
      </c>
      <c r="AG81" s="85">
        <f t="shared" si="5"/>
        <v>45806</v>
      </c>
    </row>
    <row r="82" spans="1:33">
      <c r="A82" s="166">
        <v>26079</v>
      </c>
      <c r="B82" s="167" t="s">
        <v>74</v>
      </c>
      <c r="C82" s="123">
        <f>VLOOKUP($A82,'Change in Proportion Calc'!$A$5:$P$319,12,FALSE)</f>
        <v>-3412</v>
      </c>
      <c r="D82" s="123">
        <f>VLOOKUP($A82,'Change in Proportion Calc'!$A$5:$P$319,13,FALSE)</f>
        <v>-3412</v>
      </c>
      <c r="E82" s="123">
        <f>VLOOKUP($A82,'Change in Proportion Calc'!$A$5:$P$319,13,FALSE)</f>
        <v>-3412</v>
      </c>
      <c r="F82" s="123">
        <f>VLOOKUP($A82,'Change in Proportion Calc'!$A$5:$P$319,13,FALSE)</f>
        <v>-3412</v>
      </c>
      <c r="G82" s="123">
        <f>VLOOKUP($A82,'Change in Proportion Calc'!$A$5:$P$319,16,FALSE)</f>
        <v>-3035</v>
      </c>
      <c r="H82" s="167"/>
      <c r="I82" s="123">
        <v>3483</v>
      </c>
      <c r="J82" s="123">
        <v>3483</v>
      </c>
      <c r="K82" s="123">
        <v>3483</v>
      </c>
      <c r="L82" s="123">
        <v>3483</v>
      </c>
      <c r="M82" s="123">
        <v>3411</v>
      </c>
      <c r="N82" s="167"/>
      <c r="O82" s="84">
        <v>-2662</v>
      </c>
      <c r="P82" s="84">
        <v>-2662</v>
      </c>
      <c r="Q82" s="84">
        <v>-2662</v>
      </c>
      <c r="R82" s="85">
        <v>-2608</v>
      </c>
      <c r="S82" s="167"/>
      <c r="T82" s="84">
        <v>-23479</v>
      </c>
      <c r="U82" s="84">
        <v>-23479</v>
      </c>
      <c r="V82" s="85">
        <v>-15025</v>
      </c>
      <c r="X82" s="84">
        <v>3696</v>
      </c>
      <c r="Y82" s="84">
        <v>2660</v>
      </c>
      <c r="AA82" s="85">
        <f>VLOOKUP(A82,'Change in Proportion Calc'!$A$5:$H$319,8,FALSE)+I82+O82+T82+X82</f>
        <v>-22374</v>
      </c>
      <c r="AC82" s="84">
        <f t="shared" si="3"/>
        <v>16520</v>
      </c>
      <c r="AD82" s="84">
        <f t="shared" si="4"/>
        <v>63119</v>
      </c>
      <c r="AF82" s="84">
        <f>VLOOKUP(A82,'OPEB Amounts_Report'!$A$10:$G$324,6,FALSE)</f>
        <v>110301</v>
      </c>
      <c r="AG82" s="85">
        <f t="shared" si="5"/>
        <v>-93781</v>
      </c>
    </row>
    <row r="83" spans="1:33">
      <c r="A83" s="164">
        <v>2363</v>
      </c>
      <c r="B83" s="168" t="s">
        <v>75</v>
      </c>
      <c r="C83" s="123">
        <f>VLOOKUP($A83,'Change in Proportion Calc'!$A$5:$P$319,12,FALSE)</f>
        <v>-4465</v>
      </c>
      <c r="D83" s="123">
        <f>VLOOKUP($A83,'Change in Proportion Calc'!$A$5:$P$319,13,FALSE)</f>
        <v>-4465</v>
      </c>
      <c r="E83" s="123">
        <f>VLOOKUP($A83,'Change in Proportion Calc'!$A$5:$P$319,13,FALSE)</f>
        <v>-4465</v>
      </c>
      <c r="F83" s="123">
        <f>VLOOKUP($A83,'Change in Proportion Calc'!$A$5:$P$319,13,FALSE)</f>
        <v>-4465</v>
      </c>
      <c r="G83" s="123">
        <f>VLOOKUP($A83,'Change in Proportion Calc'!$A$5:$P$319,16,FALSE)</f>
        <v>-3976</v>
      </c>
      <c r="H83" s="167"/>
      <c r="I83" s="123">
        <v>7370</v>
      </c>
      <c r="J83" s="123">
        <v>7370</v>
      </c>
      <c r="K83" s="123">
        <v>7370</v>
      </c>
      <c r="L83" s="123">
        <v>7370</v>
      </c>
      <c r="M83" s="123">
        <v>7223</v>
      </c>
      <c r="N83" s="167"/>
      <c r="O83" s="84">
        <v>-1803</v>
      </c>
      <c r="P83" s="84">
        <v>-1803</v>
      </c>
      <c r="Q83" s="84">
        <v>-1803</v>
      </c>
      <c r="R83" s="85">
        <v>-1768</v>
      </c>
      <c r="S83" s="167"/>
      <c r="T83" s="84">
        <v>2328</v>
      </c>
      <c r="U83" s="84">
        <v>2328</v>
      </c>
      <c r="V83" s="85">
        <v>1492</v>
      </c>
      <c r="X83" s="84">
        <v>-3696</v>
      </c>
      <c r="Y83" s="84">
        <v>-2660</v>
      </c>
      <c r="AA83" s="85">
        <f>VLOOKUP(A83,'Change in Proportion Calc'!$A$5:$H$319,8,FALSE)+I83+O83+T83+X83</f>
        <v>-266</v>
      </c>
      <c r="AC83" s="84">
        <f t="shared" si="3"/>
        <v>33153</v>
      </c>
      <c r="AD83" s="84">
        <f t="shared" si="4"/>
        <v>29870</v>
      </c>
      <c r="AF83" s="84">
        <f>VLOOKUP(A83,'OPEB Amounts_Report'!$A$10:$G$324,6,FALSE)</f>
        <v>143687</v>
      </c>
      <c r="AG83" s="85">
        <f t="shared" si="5"/>
        <v>-110534</v>
      </c>
    </row>
    <row r="84" spans="1:33">
      <c r="A84" s="166">
        <v>2364</v>
      </c>
      <c r="B84" s="167" t="s">
        <v>76</v>
      </c>
      <c r="C84" s="123">
        <f>VLOOKUP($A84,'Change in Proportion Calc'!$A$5:$P$319,12,FALSE)</f>
        <v>101893</v>
      </c>
      <c r="D84" s="123">
        <f>VLOOKUP($A84,'Change in Proportion Calc'!$A$5:$P$319,13,FALSE)</f>
        <v>101893</v>
      </c>
      <c r="E84" s="123">
        <f>VLOOKUP($A84,'Change in Proportion Calc'!$A$5:$P$319,13,FALSE)</f>
        <v>101893</v>
      </c>
      <c r="F84" s="123">
        <f>VLOOKUP($A84,'Change in Proportion Calc'!$A$5:$P$319,13,FALSE)</f>
        <v>101893</v>
      </c>
      <c r="G84" s="123">
        <f>VLOOKUP($A84,'Change in Proportion Calc'!$A$5:$P$319,16,FALSE)</f>
        <v>90686</v>
      </c>
      <c r="H84" s="167"/>
      <c r="I84" s="123">
        <v>64710</v>
      </c>
      <c r="J84" s="123">
        <v>64710</v>
      </c>
      <c r="K84" s="123">
        <v>64710</v>
      </c>
      <c r="L84" s="123">
        <v>64710</v>
      </c>
      <c r="M84" s="123">
        <v>63418</v>
      </c>
      <c r="N84" s="167"/>
      <c r="O84" s="84">
        <v>12451</v>
      </c>
      <c r="P84" s="84">
        <v>12451</v>
      </c>
      <c r="Q84" s="84">
        <v>12451</v>
      </c>
      <c r="R84" s="85">
        <v>12202</v>
      </c>
      <c r="S84" s="167"/>
      <c r="T84" s="84">
        <v>-16008</v>
      </c>
      <c r="U84" s="84">
        <v>-16008</v>
      </c>
      <c r="V84" s="85">
        <v>-10246</v>
      </c>
      <c r="X84" s="84">
        <v>-16728</v>
      </c>
      <c r="Y84" s="84">
        <v>-12045</v>
      </c>
      <c r="AA84" s="85">
        <f>VLOOKUP(A84,'Change in Proportion Calc'!$A$5:$H$319,8,FALSE)+I84+O84+T84+X84</f>
        <v>146318</v>
      </c>
      <c r="AC84" s="84">
        <f t="shared" si="3"/>
        <v>792910</v>
      </c>
      <c r="AD84" s="84">
        <f t="shared" si="4"/>
        <v>38299</v>
      </c>
      <c r="AF84" s="84">
        <f>VLOOKUP(A84,'OPEB Amounts_Report'!$A$10:$G$324,6,FALSE)</f>
        <v>446996</v>
      </c>
      <c r="AG84" s="85">
        <f t="shared" si="5"/>
        <v>345914</v>
      </c>
    </row>
    <row r="85" spans="1:33">
      <c r="A85" s="164">
        <v>25319</v>
      </c>
      <c r="B85" s="168" t="s">
        <v>77</v>
      </c>
      <c r="C85" s="123">
        <f>VLOOKUP($A85,'Change in Proportion Calc'!$A$5:$P$319,12,FALSE)</f>
        <v>142</v>
      </c>
      <c r="D85" s="123">
        <f>VLOOKUP($A85,'Change in Proportion Calc'!$A$5:$P$319,13,FALSE)</f>
        <v>142</v>
      </c>
      <c r="E85" s="123">
        <f>VLOOKUP($A85,'Change in Proportion Calc'!$A$5:$P$319,13,FALSE)</f>
        <v>142</v>
      </c>
      <c r="F85" s="123">
        <f>VLOOKUP($A85,'Change in Proportion Calc'!$A$5:$P$319,13,FALSE)</f>
        <v>142</v>
      </c>
      <c r="G85" s="123">
        <f>VLOOKUP($A85,'Change in Proportion Calc'!$A$5:$P$319,16,FALSE)</f>
        <v>126</v>
      </c>
      <c r="H85" s="167"/>
      <c r="I85" s="123">
        <v>18304</v>
      </c>
      <c r="J85" s="123">
        <v>18304</v>
      </c>
      <c r="K85" s="123">
        <v>18304</v>
      </c>
      <c r="L85" s="123">
        <v>18304</v>
      </c>
      <c r="M85" s="123">
        <v>17936</v>
      </c>
      <c r="N85" s="167"/>
      <c r="O85" s="84">
        <v>5324</v>
      </c>
      <c r="P85" s="84">
        <v>5324</v>
      </c>
      <c r="Q85" s="84">
        <v>5324</v>
      </c>
      <c r="R85" s="85">
        <v>5217</v>
      </c>
      <c r="S85" s="167"/>
      <c r="T85" s="84">
        <v>2038</v>
      </c>
      <c r="U85" s="84">
        <v>2038</v>
      </c>
      <c r="V85" s="85">
        <v>1302</v>
      </c>
      <c r="X85" s="84">
        <v>6614</v>
      </c>
      <c r="Y85" s="84">
        <v>4760</v>
      </c>
      <c r="AA85" s="85">
        <f>VLOOKUP(A85,'Change in Proportion Calc'!$A$5:$H$319,8,FALSE)+I85+O85+T85+X85</f>
        <v>32422</v>
      </c>
      <c r="AC85" s="84">
        <f t="shared" si="3"/>
        <v>97507</v>
      </c>
      <c r="AD85" s="84">
        <f t="shared" si="4"/>
        <v>0</v>
      </c>
      <c r="AF85" s="84">
        <f>VLOOKUP(A85,'OPEB Amounts_Report'!$A$10:$G$324,6,FALSE)</f>
        <v>115414</v>
      </c>
      <c r="AG85" s="85">
        <f t="shared" si="5"/>
        <v>-17907</v>
      </c>
    </row>
    <row r="86" spans="1:33">
      <c r="A86" s="166">
        <v>29087</v>
      </c>
      <c r="B86" s="167" t="s">
        <v>78</v>
      </c>
      <c r="C86" s="123">
        <f>VLOOKUP($A86,'Change in Proportion Calc'!$A$5:$P$319,12,FALSE)</f>
        <v>98184</v>
      </c>
      <c r="D86" s="123">
        <f>VLOOKUP($A86,'Change in Proportion Calc'!$A$5:$P$319,13,FALSE)</f>
        <v>98184</v>
      </c>
      <c r="E86" s="123">
        <f>VLOOKUP($A86,'Change in Proportion Calc'!$A$5:$P$319,13,FALSE)</f>
        <v>98184</v>
      </c>
      <c r="F86" s="123">
        <f>VLOOKUP($A86,'Change in Proportion Calc'!$A$5:$P$319,13,FALSE)</f>
        <v>98184</v>
      </c>
      <c r="G86" s="123">
        <f>VLOOKUP($A86,'Change in Proportion Calc'!$A$5:$P$319,16,FALSE)</f>
        <v>87385</v>
      </c>
      <c r="H86" s="167"/>
      <c r="I86" s="123">
        <v>-39928</v>
      </c>
      <c r="J86" s="123">
        <v>-39928</v>
      </c>
      <c r="K86" s="123">
        <v>-39928</v>
      </c>
      <c r="L86" s="123">
        <v>-39928</v>
      </c>
      <c r="M86" s="123">
        <v>-39128</v>
      </c>
      <c r="N86" s="167"/>
      <c r="O86" s="84">
        <v>191832</v>
      </c>
      <c r="P86" s="84">
        <v>191832</v>
      </c>
      <c r="Q86" s="84">
        <v>191832</v>
      </c>
      <c r="R86" s="85">
        <v>187993</v>
      </c>
      <c r="S86" s="167"/>
      <c r="T86" s="84">
        <v>82078</v>
      </c>
      <c r="U86" s="84">
        <v>82078</v>
      </c>
      <c r="V86" s="85">
        <v>52532</v>
      </c>
      <c r="X86" s="84">
        <v>-2918</v>
      </c>
      <c r="Y86" s="84">
        <v>-2099</v>
      </c>
      <c r="AA86" s="85">
        <f>VLOOKUP(A86,'Change in Proportion Calc'!$A$5:$H$319,8,FALSE)+I86+O86+T86+X86</f>
        <v>329248</v>
      </c>
      <c r="AC86" s="84">
        <f t="shared" si="3"/>
        <v>1186388</v>
      </c>
      <c r="AD86" s="84">
        <f t="shared" si="4"/>
        <v>161011</v>
      </c>
      <c r="AF86" s="84">
        <f>VLOOKUP(A86,'OPEB Amounts_Report'!$A$10:$G$324,6,FALSE)</f>
        <v>733040</v>
      </c>
      <c r="AG86" s="85">
        <f t="shared" si="5"/>
        <v>453348</v>
      </c>
    </row>
    <row r="87" spans="1:33">
      <c r="A87" s="164">
        <v>3060</v>
      </c>
      <c r="B87" s="168" t="s">
        <v>79</v>
      </c>
      <c r="C87" s="123">
        <f>VLOOKUP($A87,'Change in Proportion Calc'!$A$5:$P$319,12,FALSE)</f>
        <v>-39125</v>
      </c>
      <c r="D87" s="123">
        <f>VLOOKUP($A87,'Change in Proportion Calc'!$A$5:$P$319,13,FALSE)</f>
        <v>-39125</v>
      </c>
      <c r="E87" s="123">
        <f>VLOOKUP($A87,'Change in Proportion Calc'!$A$5:$P$319,13,FALSE)</f>
        <v>-39125</v>
      </c>
      <c r="F87" s="123">
        <f>VLOOKUP($A87,'Change in Proportion Calc'!$A$5:$P$319,13,FALSE)</f>
        <v>-39125</v>
      </c>
      <c r="G87" s="123">
        <f>VLOOKUP($A87,'Change in Proportion Calc'!$A$5:$P$319,16,FALSE)</f>
        <v>-34821</v>
      </c>
      <c r="H87" s="167"/>
      <c r="I87" s="123">
        <v>-91599</v>
      </c>
      <c r="J87" s="123">
        <v>-91599</v>
      </c>
      <c r="K87" s="123">
        <v>-91599</v>
      </c>
      <c r="L87" s="123">
        <v>-91599</v>
      </c>
      <c r="M87" s="123">
        <v>-89767</v>
      </c>
      <c r="N87" s="167"/>
      <c r="O87" s="84">
        <v>7470</v>
      </c>
      <c r="P87" s="84">
        <v>7470</v>
      </c>
      <c r="Q87" s="84">
        <v>7470</v>
      </c>
      <c r="R87" s="85">
        <v>7323</v>
      </c>
      <c r="S87" s="167"/>
      <c r="T87" s="84">
        <v>-99639</v>
      </c>
      <c r="U87" s="84">
        <v>-99639</v>
      </c>
      <c r="V87" s="85">
        <v>-63768</v>
      </c>
      <c r="X87" s="84">
        <v>36374</v>
      </c>
      <c r="Y87" s="84">
        <v>26189</v>
      </c>
      <c r="AA87" s="85">
        <f>VLOOKUP(A87,'Change in Proportion Calc'!$A$5:$H$319,8,FALSE)+I87+O87+T87+X87</f>
        <v>-186519</v>
      </c>
      <c r="AC87" s="84">
        <f t="shared" si="3"/>
        <v>48452</v>
      </c>
      <c r="AD87" s="84">
        <f t="shared" si="4"/>
        <v>719292</v>
      </c>
      <c r="AF87" s="84">
        <f>VLOOKUP(A87,'OPEB Amounts_Report'!$A$10:$G$324,6,FALSE)</f>
        <v>563692</v>
      </c>
      <c r="AG87" s="85">
        <f t="shared" si="5"/>
        <v>-515240</v>
      </c>
    </row>
    <row r="88" spans="1:33">
      <c r="A88" s="166">
        <v>19301</v>
      </c>
      <c r="B88" s="167" t="s">
        <v>80</v>
      </c>
      <c r="C88" s="123">
        <f>VLOOKUP($A88,'Change in Proportion Calc'!$A$5:$P$319,12,FALSE)</f>
        <v>20661</v>
      </c>
      <c r="D88" s="123">
        <f>VLOOKUP($A88,'Change in Proportion Calc'!$A$5:$P$319,13,FALSE)</f>
        <v>20661</v>
      </c>
      <c r="E88" s="123">
        <f>VLOOKUP($A88,'Change in Proportion Calc'!$A$5:$P$319,13,FALSE)</f>
        <v>20661</v>
      </c>
      <c r="F88" s="123">
        <f>VLOOKUP($A88,'Change in Proportion Calc'!$A$5:$P$319,13,FALSE)</f>
        <v>20661</v>
      </c>
      <c r="G88" s="123">
        <f>VLOOKUP($A88,'Change in Proportion Calc'!$A$5:$P$319,16,FALSE)</f>
        <v>18390</v>
      </c>
      <c r="H88" s="167"/>
      <c r="I88" s="123">
        <v>243</v>
      </c>
      <c r="J88" s="123">
        <v>243</v>
      </c>
      <c r="K88" s="123">
        <v>243</v>
      </c>
      <c r="L88" s="123">
        <v>243</v>
      </c>
      <c r="M88" s="123">
        <v>238</v>
      </c>
      <c r="N88" s="167"/>
      <c r="O88" s="84">
        <v>-29968</v>
      </c>
      <c r="P88" s="84">
        <v>-29968</v>
      </c>
      <c r="Q88" s="84">
        <v>-29968</v>
      </c>
      <c r="R88" s="85">
        <v>-29370</v>
      </c>
      <c r="S88" s="167"/>
      <c r="T88" s="84">
        <v>-3881</v>
      </c>
      <c r="U88" s="84">
        <v>-3881</v>
      </c>
      <c r="V88" s="85">
        <v>-2483</v>
      </c>
      <c r="X88" s="84">
        <v>-11865</v>
      </c>
      <c r="Y88" s="84">
        <v>-8544</v>
      </c>
      <c r="AA88" s="85">
        <f>VLOOKUP(A88,'Change in Proportion Calc'!$A$5:$H$319,8,FALSE)+I88+O88+T88+X88</f>
        <v>-24810</v>
      </c>
      <c r="AC88" s="84">
        <f t="shared" si="3"/>
        <v>102001</v>
      </c>
      <c r="AD88" s="84">
        <f t="shared" si="4"/>
        <v>104214</v>
      </c>
      <c r="AF88" s="84">
        <f>VLOOKUP(A88,'OPEB Amounts_Report'!$A$10:$G$324,6,FALSE)</f>
        <v>101809</v>
      </c>
      <c r="AG88" s="85">
        <f t="shared" si="5"/>
        <v>192</v>
      </c>
    </row>
    <row r="89" spans="1:33">
      <c r="A89" s="164">
        <v>19059</v>
      </c>
      <c r="B89" s="168" t="s">
        <v>81</v>
      </c>
      <c r="C89" s="123">
        <f>VLOOKUP($A89,'Change in Proportion Calc'!$A$5:$P$319,12,FALSE)</f>
        <v>454487</v>
      </c>
      <c r="D89" s="123">
        <f>VLOOKUP($A89,'Change in Proportion Calc'!$A$5:$P$319,13,FALSE)</f>
        <v>454487</v>
      </c>
      <c r="E89" s="123">
        <f>VLOOKUP($A89,'Change in Proportion Calc'!$A$5:$P$319,13,FALSE)</f>
        <v>454487</v>
      </c>
      <c r="F89" s="123">
        <f>VLOOKUP($A89,'Change in Proportion Calc'!$A$5:$P$319,13,FALSE)</f>
        <v>454487</v>
      </c>
      <c r="G89" s="123">
        <f>VLOOKUP($A89,'Change in Proportion Calc'!$A$5:$P$319,16,FALSE)</f>
        <v>404492</v>
      </c>
      <c r="H89" s="167"/>
      <c r="I89" s="123">
        <v>-73943</v>
      </c>
      <c r="J89" s="123">
        <v>-73943</v>
      </c>
      <c r="K89" s="123">
        <v>-73943</v>
      </c>
      <c r="L89" s="123">
        <v>-73943</v>
      </c>
      <c r="M89" s="123">
        <v>-72466</v>
      </c>
      <c r="N89" s="167"/>
      <c r="O89" s="84">
        <v>369495</v>
      </c>
      <c r="P89" s="84">
        <v>369495</v>
      </c>
      <c r="Q89" s="84">
        <v>369495</v>
      </c>
      <c r="R89" s="85">
        <v>362103</v>
      </c>
      <c r="S89" s="167"/>
      <c r="T89" s="84">
        <v>230906</v>
      </c>
      <c r="U89" s="84">
        <v>230906</v>
      </c>
      <c r="V89" s="85">
        <v>147780</v>
      </c>
      <c r="X89" s="84">
        <v>-205989</v>
      </c>
      <c r="Y89" s="84">
        <v>-148313</v>
      </c>
      <c r="AA89" s="85">
        <f>VLOOKUP(A89,'Change in Proportion Calc'!$A$5:$H$319,8,FALSE)+I89+O89+T89+X89</f>
        <v>774956</v>
      </c>
      <c r="AC89" s="84">
        <f t="shared" si="3"/>
        <v>3702219</v>
      </c>
      <c r="AD89" s="84">
        <f t="shared" si="4"/>
        <v>442608</v>
      </c>
      <c r="AF89" s="84">
        <f>VLOOKUP(A89,'OPEB Amounts_Report'!$A$10:$G$324,6,FALSE)</f>
        <v>3755433</v>
      </c>
      <c r="AG89" s="85">
        <f t="shared" si="5"/>
        <v>-53214</v>
      </c>
    </row>
    <row r="90" spans="1:33">
      <c r="A90" s="166">
        <v>18057</v>
      </c>
      <c r="B90" s="167" t="s">
        <v>82</v>
      </c>
      <c r="C90" s="123">
        <f>VLOOKUP($A90,'Change in Proportion Calc'!$A$5:$P$319,12,FALSE)</f>
        <v>8149</v>
      </c>
      <c r="D90" s="123">
        <f>VLOOKUP($A90,'Change in Proportion Calc'!$A$5:$P$319,13,FALSE)</f>
        <v>8149</v>
      </c>
      <c r="E90" s="123">
        <f>VLOOKUP($A90,'Change in Proportion Calc'!$A$5:$P$319,13,FALSE)</f>
        <v>8149</v>
      </c>
      <c r="F90" s="123">
        <f>VLOOKUP($A90,'Change in Proportion Calc'!$A$5:$P$319,13,FALSE)</f>
        <v>8149</v>
      </c>
      <c r="G90" s="123">
        <f>VLOOKUP($A90,'Change in Proportion Calc'!$A$5:$P$319,16,FALSE)</f>
        <v>7255</v>
      </c>
      <c r="H90" s="167"/>
      <c r="I90" s="123">
        <v>2754</v>
      </c>
      <c r="J90" s="123">
        <v>2754</v>
      </c>
      <c r="K90" s="123">
        <v>2754</v>
      </c>
      <c r="L90" s="123">
        <v>2754</v>
      </c>
      <c r="M90" s="123">
        <v>2697</v>
      </c>
      <c r="N90" s="167"/>
      <c r="O90" s="84">
        <v>-6869</v>
      </c>
      <c r="P90" s="84">
        <v>-6869</v>
      </c>
      <c r="Q90" s="84">
        <v>-6869</v>
      </c>
      <c r="R90" s="85">
        <v>-6734</v>
      </c>
      <c r="S90" s="167"/>
      <c r="T90" s="84">
        <v>-3881</v>
      </c>
      <c r="U90" s="84">
        <v>-3881</v>
      </c>
      <c r="V90" s="85">
        <v>-2483</v>
      </c>
      <c r="X90" s="84">
        <v>10796</v>
      </c>
      <c r="Y90" s="84">
        <v>7771</v>
      </c>
      <c r="AA90" s="85">
        <f>VLOOKUP(A90,'Change in Proportion Calc'!$A$5:$H$319,8,FALSE)+I90+O90+T90+X90</f>
        <v>10949</v>
      </c>
      <c r="AC90" s="84">
        <f t="shared" si="3"/>
        <v>58581</v>
      </c>
      <c r="AD90" s="84">
        <f t="shared" si="4"/>
        <v>26836</v>
      </c>
      <c r="AF90" s="84">
        <f>VLOOKUP(A90,'OPEB Amounts_Report'!$A$10:$G$324,6,FALSE)</f>
        <v>131956</v>
      </c>
      <c r="AG90" s="85">
        <f t="shared" si="5"/>
        <v>-73375</v>
      </c>
    </row>
    <row r="91" spans="1:33">
      <c r="A91" s="164">
        <v>4008</v>
      </c>
      <c r="B91" s="168" t="s">
        <v>83</v>
      </c>
      <c r="C91" s="123">
        <f>VLOOKUP($A91,'Change in Proportion Calc'!$A$5:$P$319,12,FALSE)</f>
        <v>-32836</v>
      </c>
      <c r="D91" s="123">
        <f>VLOOKUP($A91,'Change in Proportion Calc'!$A$5:$P$319,13,FALSE)</f>
        <v>-32836</v>
      </c>
      <c r="E91" s="123">
        <f>VLOOKUP($A91,'Change in Proportion Calc'!$A$5:$P$319,13,FALSE)</f>
        <v>-32836</v>
      </c>
      <c r="F91" s="123">
        <f>VLOOKUP($A91,'Change in Proportion Calc'!$A$5:$P$319,13,FALSE)</f>
        <v>-32836</v>
      </c>
      <c r="G91" s="123">
        <f>VLOOKUP($A91,'Change in Proportion Calc'!$A$5:$P$319,16,FALSE)</f>
        <v>-29226</v>
      </c>
      <c r="H91" s="167"/>
      <c r="I91" s="123">
        <v>26564</v>
      </c>
      <c r="J91" s="123">
        <v>26564</v>
      </c>
      <c r="K91" s="123">
        <v>26564</v>
      </c>
      <c r="L91" s="123">
        <v>26564</v>
      </c>
      <c r="M91" s="123">
        <v>26035</v>
      </c>
      <c r="N91" s="167"/>
      <c r="O91" s="84">
        <v>-33403</v>
      </c>
      <c r="P91" s="84">
        <v>-33403</v>
      </c>
      <c r="Q91" s="84">
        <v>-33403</v>
      </c>
      <c r="R91" s="85">
        <v>-32735</v>
      </c>
      <c r="S91" s="167"/>
      <c r="T91" s="84">
        <v>-72085</v>
      </c>
      <c r="U91" s="84">
        <v>-72085</v>
      </c>
      <c r="V91" s="85">
        <v>-46136</v>
      </c>
      <c r="X91" s="84">
        <v>-107760</v>
      </c>
      <c r="Y91" s="84">
        <v>-77588</v>
      </c>
      <c r="AA91" s="85">
        <f>VLOOKUP(A91,'Change in Proportion Calc'!$A$5:$H$319,8,FALSE)+I91+O91+T91+X91</f>
        <v>-219520</v>
      </c>
      <c r="AC91" s="84">
        <f t="shared" si="3"/>
        <v>105727</v>
      </c>
      <c r="AD91" s="84">
        <f t="shared" si="4"/>
        <v>455920</v>
      </c>
      <c r="AF91" s="84">
        <f>VLOOKUP(A91,'OPEB Amounts_Report'!$A$10:$G$324,6,FALSE)</f>
        <v>554879</v>
      </c>
      <c r="AG91" s="85">
        <f t="shared" si="5"/>
        <v>-449152</v>
      </c>
    </row>
    <row r="92" spans="1:33">
      <c r="A92" s="209">
        <v>2350</v>
      </c>
      <c r="B92" s="210" t="s">
        <v>84</v>
      </c>
      <c r="C92" s="123">
        <f>VLOOKUP($A92,'Change in Proportion Calc'!$A$5:$P$319,12,FALSE)</f>
        <v>10410</v>
      </c>
      <c r="D92" s="123">
        <f>VLOOKUP($A92,'Change in Proportion Calc'!$A$5:$P$319,13,FALSE)</f>
        <v>10410</v>
      </c>
      <c r="E92" s="123">
        <f>VLOOKUP($A92,'Change in Proportion Calc'!$A$5:$P$319,13,FALSE)</f>
        <v>10410</v>
      </c>
      <c r="F92" s="123">
        <f>VLOOKUP($A92,'Change in Proportion Calc'!$A$5:$P$319,13,FALSE)</f>
        <v>10410</v>
      </c>
      <c r="G92" s="123">
        <f>VLOOKUP($A92,'Change in Proportion Calc'!$A$5:$P$319,16,FALSE)</f>
        <v>9263</v>
      </c>
      <c r="H92" s="167"/>
      <c r="I92" s="123">
        <v>27294</v>
      </c>
      <c r="J92" s="123">
        <v>27294</v>
      </c>
      <c r="K92" s="123">
        <v>27294</v>
      </c>
      <c r="L92" s="123">
        <v>27294</v>
      </c>
      <c r="M92" s="123">
        <v>26746</v>
      </c>
      <c r="N92" s="167"/>
      <c r="O92" s="84">
        <v>15456</v>
      </c>
      <c r="P92" s="84">
        <v>15456</v>
      </c>
      <c r="Q92" s="84">
        <v>15456</v>
      </c>
      <c r="R92" s="85">
        <v>15149</v>
      </c>
      <c r="S92" s="167"/>
      <c r="T92" s="84">
        <v>2231</v>
      </c>
      <c r="U92" s="84">
        <v>2231</v>
      </c>
      <c r="V92" s="85">
        <v>1430</v>
      </c>
      <c r="X92" s="84">
        <v>-47461</v>
      </c>
      <c r="Y92" s="84">
        <v>-34173</v>
      </c>
      <c r="AA92" s="85">
        <f>VLOOKUP(A92,'Change in Proportion Calc'!$A$5:$H$319,8,FALSE)+I92+O92+T92+X92</f>
        <v>7930</v>
      </c>
      <c r="AC92" s="84">
        <f t="shared" si="3"/>
        <v>209253</v>
      </c>
      <c r="AD92" s="84">
        <f t="shared" si="4"/>
        <v>34173</v>
      </c>
      <c r="AF92" s="84">
        <f>VLOOKUP(A92,'OPEB Amounts_Report'!$A$10:$G$324,6,FALSE)</f>
        <v>197573</v>
      </c>
      <c r="AG92" s="85">
        <f t="shared" si="5"/>
        <v>11680</v>
      </c>
    </row>
    <row r="93" spans="1:33">
      <c r="A93" s="164">
        <v>11117</v>
      </c>
      <c r="B93" s="168" t="s">
        <v>85</v>
      </c>
      <c r="C93" s="123">
        <f>VLOOKUP($A93,'Change in Proportion Calc'!$A$5:$P$319,12,FALSE)</f>
        <v>-23556</v>
      </c>
      <c r="D93" s="123">
        <f>VLOOKUP($A93,'Change in Proportion Calc'!$A$5:$P$319,13,FALSE)</f>
        <v>-23556</v>
      </c>
      <c r="E93" s="123">
        <f>VLOOKUP($A93,'Change in Proportion Calc'!$A$5:$P$319,13,FALSE)</f>
        <v>-23556</v>
      </c>
      <c r="F93" s="123">
        <f>VLOOKUP($A93,'Change in Proportion Calc'!$A$5:$P$319,13,FALSE)</f>
        <v>-23556</v>
      </c>
      <c r="G93" s="123">
        <f>VLOOKUP($A93,'Change in Proportion Calc'!$A$5:$P$319,16,FALSE)</f>
        <v>-20963</v>
      </c>
      <c r="H93" s="167"/>
      <c r="I93" s="123">
        <v>7451</v>
      </c>
      <c r="J93" s="123">
        <v>7451</v>
      </c>
      <c r="K93" s="123">
        <v>7451</v>
      </c>
      <c r="L93" s="123">
        <v>7451</v>
      </c>
      <c r="M93" s="123">
        <v>7302</v>
      </c>
      <c r="N93" s="167"/>
      <c r="O93" s="84">
        <v>2576</v>
      </c>
      <c r="P93" s="84">
        <v>2576</v>
      </c>
      <c r="Q93" s="84">
        <v>2576</v>
      </c>
      <c r="R93" s="85">
        <v>2525</v>
      </c>
      <c r="S93" s="167"/>
      <c r="T93" s="84">
        <v>-6791</v>
      </c>
      <c r="U93" s="84">
        <v>-6791</v>
      </c>
      <c r="V93" s="85">
        <v>-4348</v>
      </c>
      <c r="X93" s="84">
        <v>-5446</v>
      </c>
      <c r="Y93" s="84">
        <v>-3923</v>
      </c>
      <c r="AA93" s="85">
        <f>VLOOKUP(A93,'Change in Proportion Calc'!$A$5:$H$319,8,FALSE)+I93+O93+T93+X93</f>
        <v>-25766</v>
      </c>
      <c r="AC93" s="84">
        <f t="shared" si="3"/>
        <v>37332</v>
      </c>
      <c r="AD93" s="84">
        <f t="shared" si="4"/>
        <v>130249</v>
      </c>
      <c r="AF93" s="84">
        <f>VLOOKUP(A93,'OPEB Amounts_Report'!$A$10:$G$324,6,FALSE)</f>
        <v>197844</v>
      </c>
      <c r="AG93" s="85">
        <f t="shared" si="5"/>
        <v>-160512</v>
      </c>
    </row>
    <row r="94" spans="1:33">
      <c r="A94" s="166">
        <v>16359</v>
      </c>
      <c r="B94" s="167" t="s">
        <v>86</v>
      </c>
      <c r="C94" s="123">
        <f>VLOOKUP($A94,'Change in Proportion Calc'!$A$5:$P$319,12,FALSE)</f>
        <v>5406</v>
      </c>
      <c r="D94" s="123">
        <f>VLOOKUP($A94,'Change in Proportion Calc'!$A$5:$P$319,13,FALSE)</f>
        <v>5406</v>
      </c>
      <c r="E94" s="123">
        <f>VLOOKUP($A94,'Change in Proportion Calc'!$A$5:$P$319,13,FALSE)</f>
        <v>5406</v>
      </c>
      <c r="F94" s="123">
        <f>VLOOKUP($A94,'Change in Proportion Calc'!$A$5:$P$319,13,FALSE)</f>
        <v>5406</v>
      </c>
      <c r="G94" s="123">
        <f>VLOOKUP($A94,'Change in Proportion Calc'!$A$5:$P$319,16,FALSE)</f>
        <v>4813</v>
      </c>
      <c r="H94" s="167"/>
      <c r="I94" s="123">
        <v>9233</v>
      </c>
      <c r="J94" s="123">
        <v>9233</v>
      </c>
      <c r="K94" s="123">
        <v>9233</v>
      </c>
      <c r="L94" s="123">
        <v>9233</v>
      </c>
      <c r="M94" s="123">
        <v>9047</v>
      </c>
      <c r="N94" s="167"/>
      <c r="O94" s="84">
        <v>2490</v>
      </c>
      <c r="P94" s="84">
        <v>2490</v>
      </c>
      <c r="Q94" s="84">
        <v>2490</v>
      </c>
      <c r="R94" s="85">
        <v>2441</v>
      </c>
      <c r="S94" s="167"/>
      <c r="T94" s="84">
        <v>-9508</v>
      </c>
      <c r="U94" s="84">
        <v>-9508</v>
      </c>
      <c r="V94" s="85">
        <v>-6085</v>
      </c>
      <c r="X94" s="84">
        <v>13324</v>
      </c>
      <c r="Y94" s="84">
        <v>9594</v>
      </c>
      <c r="AA94" s="85">
        <f>VLOOKUP(A94,'Change in Proportion Calc'!$A$5:$H$319,8,FALSE)+I94+O94+T94+X94</f>
        <v>20945</v>
      </c>
      <c r="AC94" s="84">
        <f t="shared" si="3"/>
        <v>80198</v>
      </c>
      <c r="AD94" s="84">
        <f t="shared" si="4"/>
        <v>15593</v>
      </c>
      <c r="AF94" s="84">
        <f>VLOOKUP(A94,'OPEB Amounts_Report'!$A$10:$G$324,6,FALSE)</f>
        <v>37955</v>
      </c>
      <c r="AG94" s="85">
        <f t="shared" si="5"/>
        <v>42243</v>
      </c>
    </row>
    <row r="95" spans="1:33">
      <c r="A95" s="164">
        <v>17115</v>
      </c>
      <c r="B95" s="168" t="s">
        <v>87</v>
      </c>
      <c r="C95" s="123">
        <f>VLOOKUP($A95,'Change in Proportion Calc'!$A$5:$P$319,12,FALSE)</f>
        <v>75270</v>
      </c>
      <c r="D95" s="123">
        <f>VLOOKUP($A95,'Change in Proportion Calc'!$A$5:$P$319,13,FALSE)</f>
        <v>75270</v>
      </c>
      <c r="E95" s="123">
        <f>VLOOKUP($A95,'Change in Proportion Calc'!$A$5:$P$319,13,FALSE)</f>
        <v>75270</v>
      </c>
      <c r="F95" s="123">
        <f>VLOOKUP($A95,'Change in Proportion Calc'!$A$5:$P$319,13,FALSE)</f>
        <v>75270</v>
      </c>
      <c r="G95" s="123">
        <f>VLOOKUP($A95,'Change in Proportion Calc'!$A$5:$P$319,16,FALSE)</f>
        <v>66992</v>
      </c>
      <c r="H95" s="167"/>
      <c r="I95" s="123">
        <v>-99860</v>
      </c>
      <c r="J95" s="123">
        <v>-99860</v>
      </c>
      <c r="K95" s="123">
        <v>-99860</v>
      </c>
      <c r="L95" s="123">
        <v>-99860</v>
      </c>
      <c r="M95" s="123">
        <v>-97863</v>
      </c>
      <c r="N95" s="167"/>
      <c r="O95" s="84">
        <v>10905</v>
      </c>
      <c r="P95" s="84">
        <v>10905</v>
      </c>
      <c r="Q95" s="84">
        <v>10905</v>
      </c>
      <c r="R95" s="85">
        <v>10689</v>
      </c>
      <c r="S95" s="167"/>
      <c r="T95" s="84">
        <v>57144</v>
      </c>
      <c r="U95" s="84">
        <v>57144</v>
      </c>
      <c r="V95" s="85">
        <v>36574</v>
      </c>
      <c r="X95" s="84">
        <v>39292</v>
      </c>
      <c r="Y95" s="84">
        <v>28288</v>
      </c>
      <c r="AA95" s="85">
        <f>VLOOKUP(A95,'Change in Proportion Calc'!$A$5:$H$319,8,FALSE)+I95+O95+T95+X95</f>
        <v>82751</v>
      </c>
      <c r="AC95" s="84">
        <f t="shared" si="3"/>
        <v>522577</v>
      </c>
      <c r="AD95" s="84">
        <f t="shared" si="4"/>
        <v>397443</v>
      </c>
      <c r="AF95" s="84">
        <f>VLOOKUP(A95,'OPEB Amounts_Report'!$A$10:$G$324,6,FALSE)</f>
        <v>644637</v>
      </c>
      <c r="AG95" s="85">
        <f t="shared" si="5"/>
        <v>-122060</v>
      </c>
    </row>
    <row r="96" spans="1:33">
      <c r="A96" s="166">
        <v>32117</v>
      </c>
      <c r="B96" s="167" t="s">
        <v>88</v>
      </c>
      <c r="C96" s="123">
        <f>VLOOKUP($A96,'Change in Proportion Calc'!$A$5:$P$319,12,FALSE)</f>
        <v>1990</v>
      </c>
      <c r="D96" s="123">
        <f>VLOOKUP($A96,'Change in Proportion Calc'!$A$5:$P$319,13,FALSE)</f>
        <v>1990</v>
      </c>
      <c r="E96" s="123">
        <f>VLOOKUP($A96,'Change in Proportion Calc'!$A$5:$P$319,13,FALSE)</f>
        <v>1990</v>
      </c>
      <c r="F96" s="123">
        <f>VLOOKUP($A96,'Change in Proportion Calc'!$A$5:$P$319,13,FALSE)</f>
        <v>1990</v>
      </c>
      <c r="G96" s="123">
        <f>VLOOKUP($A96,'Change in Proportion Calc'!$A$5:$P$319,16,FALSE)</f>
        <v>1772</v>
      </c>
      <c r="H96" s="167"/>
      <c r="I96" s="123">
        <v>4859</v>
      </c>
      <c r="J96" s="123">
        <v>4859</v>
      </c>
      <c r="K96" s="123">
        <v>4859</v>
      </c>
      <c r="L96" s="123">
        <v>4859</v>
      </c>
      <c r="M96" s="123">
        <v>4764</v>
      </c>
      <c r="N96" s="167"/>
      <c r="O96" s="84">
        <v>10991</v>
      </c>
      <c r="P96" s="84">
        <v>10991</v>
      </c>
      <c r="Q96" s="84">
        <v>10991</v>
      </c>
      <c r="R96" s="85">
        <v>10773</v>
      </c>
      <c r="S96" s="167"/>
      <c r="T96" s="84">
        <v>-1261</v>
      </c>
      <c r="U96" s="84">
        <v>-1261</v>
      </c>
      <c r="V96" s="85">
        <v>-808</v>
      </c>
      <c r="X96" s="84">
        <v>18868</v>
      </c>
      <c r="Y96" s="84">
        <v>13584</v>
      </c>
      <c r="AA96" s="85">
        <f>VLOOKUP(A96,'Change in Proportion Calc'!$A$5:$H$319,8,FALSE)+I96+O96+T96+X96</f>
        <v>35447</v>
      </c>
      <c r="AC96" s="84">
        <f t="shared" si="3"/>
        <v>75412</v>
      </c>
      <c r="AD96" s="84">
        <f t="shared" si="4"/>
        <v>2069</v>
      </c>
      <c r="AF96" s="84">
        <f>VLOOKUP(A96,'OPEB Amounts_Report'!$A$10:$G$324,6,FALSE)</f>
        <v>40480</v>
      </c>
      <c r="AG96" s="85">
        <f t="shared" si="5"/>
        <v>34932</v>
      </c>
    </row>
    <row r="97" spans="1:33">
      <c r="A97" s="164">
        <v>2304</v>
      </c>
      <c r="B97" s="168" t="s">
        <v>89</v>
      </c>
      <c r="C97" s="123">
        <f>VLOOKUP($A97,'Change in Proportion Calc'!$A$5:$P$319,12,FALSE)</f>
        <v>82847</v>
      </c>
      <c r="D97" s="123">
        <f>VLOOKUP($A97,'Change in Proportion Calc'!$A$5:$P$319,13,FALSE)</f>
        <v>82847</v>
      </c>
      <c r="E97" s="123">
        <f>VLOOKUP($A97,'Change in Proportion Calc'!$A$5:$P$319,13,FALSE)</f>
        <v>82847</v>
      </c>
      <c r="F97" s="123">
        <f>VLOOKUP($A97,'Change in Proportion Calc'!$A$5:$P$319,13,FALSE)</f>
        <v>82847</v>
      </c>
      <c r="G97" s="123">
        <f>VLOOKUP($A97,'Change in Proportion Calc'!$A$5:$P$319,16,FALSE)</f>
        <v>73736</v>
      </c>
      <c r="H97" s="167"/>
      <c r="I97" s="123">
        <v>11987</v>
      </c>
      <c r="J97" s="123">
        <v>11987</v>
      </c>
      <c r="K97" s="123">
        <v>11987</v>
      </c>
      <c r="L97" s="123">
        <v>11987</v>
      </c>
      <c r="M97" s="123">
        <v>11745</v>
      </c>
      <c r="N97" s="167"/>
      <c r="O97" s="84">
        <v>3778</v>
      </c>
      <c r="P97" s="84">
        <v>3778</v>
      </c>
      <c r="Q97" s="84">
        <v>3778</v>
      </c>
      <c r="R97" s="85">
        <v>3704</v>
      </c>
      <c r="S97" s="167"/>
      <c r="T97" s="84">
        <v>4948</v>
      </c>
      <c r="U97" s="84">
        <v>4948</v>
      </c>
      <c r="V97" s="85">
        <v>3167</v>
      </c>
      <c r="X97" s="84">
        <v>-2140</v>
      </c>
      <c r="Y97" s="84">
        <v>-1539</v>
      </c>
      <c r="AA97" s="85">
        <f>VLOOKUP(A97,'Change in Proportion Calc'!$A$5:$H$319,8,FALSE)+I97+O97+T97+X97</f>
        <v>101421</v>
      </c>
      <c r="AC97" s="84">
        <f t="shared" si="3"/>
        <v>472205</v>
      </c>
      <c r="AD97" s="84">
        <f t="shared" si="4"/>
        <v>1539</v>
      </c>
      <c r="AF97" s="84">
        <f>VLOOKUP(A97,'OPEB Amounts_Report'!$A$10:$G$324,6,FALSE)</f>
        <v>285242</v>
      </c>
      <c r="AG97" s="85">
        <f t="shared" si="5"/>
        <v>186963</v>
      </c>
    </row>
    <row r="98" spans="1:33">
      <c r="A98" s="166">
        <v>11101</v>
      </c>
      <c r="B98" s="167" t="s">
        <v>91</v>
      </c>
      <c r="C98" s="123">
        <f>VLOOKUP($A98,'Change in Proportion Calc'!$A$5:$P$319,12,FALSE)</f>
        <v>351674</v>
      </c>
      <c r="D98" s="123">
        <f>VLOOKUP($A98,'Change in Proportion Calc'!$A$5:$P$319,13,FALSE)</f>
        <v>351674</v>
      </c>
      <c r="E98" s="123">
        <f>VLOOKUP($A98,'Change in Proportion Calc'!$A$5:$P$319,13,FALSE)</f>
        <v>351674</v>
      </c>
      <c r="F98" s="123">
        <f>VLOOKUP($A98,'Change in Proportion Calc'!$A$5:$P$319,13,FALSE)</f>
        <v>351674</v>
      </c>
      <c r="G98" s="123">
        <f>VLOOKUP($A98,'Change in Proportion Calc'!$A$5:$P$319,16,FALSE)</f>
        <v>312991</v>
      </c>
      <c r="H98" s="167"/>
      <c r="I98" s="123">
        <v>-150883</v>
      </c>
      <c r="J98" s="123">
        <v>-150883</v>
      </c>
      <c r="K98" s="123">
        <v>-150883</v>
      </c>
      <c r="L98" s="123">
        <v>-150883</v>
      </c>
      <c r="M98" s="123">
        <v>-147867</v>
      </c>
      <c r="N98" s="167"/>
      <c r="O98" s="84">
        <v>183932</v>
      </c>
      <c r="P98" s="84">
        <v>183932</v>
      </c>
      <c r="Q98" s="84">
        <v>183932</v>
      </c>
      <c r="R98" s="85">
        <v>180251</v>
      </c>
      <c r="S98" s="167"/>
      <c r="T98" s="84">
        <v>-1011620</v>
      </c>
      <c r="U98" s="84">
        <v>-1011620</v>
      </c>
      <c r="V98" s="85">
        <v>-647439</v>
      </c>
      <c r="X98" s="84">
        <v>170880</v>
      </c>
      <c r="Y98" s="84">
        <v>123032</v>
      </c>
      <c r="AA98" s="85">
        <f>VLOOKUP(A98,'Change in Proportion Calc'!$A$5:$H$319,8,FALSE)+I98+O98+T98+X98</f>
        <v>-456017</v>
      </c>
      <c r="AC98" s="84">
        <f t="shared" si="3"/>
        <v>2390834</v>
      </c>
      <c r="AD98" s="84">
        <f t="shared" si="4"/>
        <v>2259575</v>
      </c>
      <c r="AF98" s="84">
        <f>VLOOKUP(A98,'OPEB Amounts_Report'!$A$10:$G$324,6,FALSE)</f>
        <v>3361098</v>
      </c>
      <c r="AG98" s="85">
        <f t="shared" si="5"/>
        <v>-970264</v>
      </c>
    </row>
    <row r="99" spans="1:33">
      <c r="A99" s="164">
        <v>11102</v>
      </c>
      <c r="B99" s="168" t="s">
        <v>90</v>
      </c>
      <c r="C99" s="123">
        <f>VLOOKUP($A99,'Change in Proportion Calc'!$A$5:$P$319,12,FALSE)</f>
        <v>62430</v>
      </c>
      <c r="D99" s="123">
        <f>VLOOKUP($A99,'Change in Proportion Calc'!$A$5:$P$319,13,FALSE)</f>
        <v>62430</v>
      </c>
      <c r="E99" s="123">
        <f>VLOOKUP($A99,'Change in Proportion Calc'!$A$5:$P$319,13,FALSE)</f>
        <v>62430</v>
      </c>
      <c r="F99" s="123">
        <f>VLOOKUP($A99,'Change in Proportion Calc'!$A$5:$P$319,13,FALSE)</f>
        <v>62430</v>
      </c>
      <c r="G99" s="123">
        <f>VLOOKUP($A99,'Change in Proportion Calc'!$A$5:$P$319,16,FALSE)</f>
        <v>55562</v>
      </c>
      <c r="H99" s="167"/>
      <c r="I99" s="123">
        <v>-82366</v>
      </c>
      <c r="J99" s="123">
        <v>-82366</v>
      </c>
      <c r="K99" s="123">
        <v>-82366</v>
      </c>
      <c r="L99" s="123">
        <v>-82366</v>
      </c>
      <c r="M99" s="123">
        <v>-80720</v>
      </c>
      <c r="N99" s="167"/>
      <c r="O99" s="84">
        <v>-192862</v>
      </c>
      <c r="P99" s="84">
        <v>-192862</v>
      </c>
      <c r="Q99" s="84">
        <v>-192862</v>
      </c>
      <c r="R99" s="85">
        <v>-189004</v>
      </c>
      <c r="S99" s="167"/>
      <c r="T99" s="84">
        <v>-62869</v>
      </c>
      <c r="U99" s="84">
        <v>-62869</v>
      </c>
      <c r="V99" s="85">
        <v>-40234</v>
      </c>
      <c r="X99" s="84">
        <v>2626</v>
      </c>
      <c r="Y99" s="84">
        <v>1890</v>
      </c>
      <c r="AA99" s="85">
        <f>VLOOKUP(A99,'Change in Proportion Calc'!$A$5:$H$319,8,FALSE)+I99+O99+T99+X99</f>
        <v>-273041</v>
      </c>
      <c r="AC99" s="84">
        <f t="shared" si="3"/>
        <v>307172</v>
      </c>
      <c r="AD99" s="84">
        <f t="shared" si="4"/>
        <v>1005649</v>
      </c>
      <c r="AF99" s="84">
        <f>VLOOKUP(A99,'OPEB Amounts_Report'!$A$10:$G$324,6,FALSE)</f>
        <v>1022943</v>
      </c>
      <c r="AG99" s="85">
        <f t="shared" si="5"/>
        <v>-715771</v>
      </c>
    </row>
    <row r="100" spans="1:33">
      <c r="A100" s="166">
        <v>3100</v>
      </c>
      <c r="B100" s="167" t="s">
        <v>92</v>
      </c>
      <c r="C100" s="123">
        <f>VLOOKUP($A100,'Change in Proportion Calc'!$A$5:$P$319,12,FALSE)</f>
        <v>-120633</v>
      </c>
      <c r="D100" s="123">
        <f>VLOOKUP($A100,'Change in Proportion Calc'!$A$5:$P$319,13,FALSE)</f>
        <v>-120633</v>
      </c>
      <c r="E100" s="123">
        <f>VLOOKUP($A100,'Change in Proportion Calc'!$A$5:$P$319,13,FALSE)</f>
        <v>-120633</v>
      </c>
      <c r="F100" s="123">
        <f>VLOOKUP($A100,'Change in Proportion Calc'!$A$5:$P$319,13,FALSE)</f>
        <v>-120633</v>
      </c>
      <c r="G100" s="123">
        <f>VLOOKUP($A100,'Change in Proportion Calc'!$A$5:$P$319,16,FALSE)</f>
        <v>-107361</v>
      </c>
      <c r="H100" s="167"/>
      <c r="I100" s="123">
        <v>299985</v>
      </c>
      <c r="J100" s="123">
        <v>299985</v>
      </c>
      <c r="K100" s="123">
        <v>299985</v>
      </c>
      <c r="L100" s="123">
        <v>299985</v>
      </c>
      <c r="M100" s="123">
        <v>293985</v>
      </c>
      <c r="N100" s="167"/>
      <c r="O100" s="84">
        <v>-114635</v>
      </c>
      <c r="P100" s="84">
        <v>-114635</v>
      </c>
      <c r="Q100" s="84">
        <v>-114635</v>
      </c>
      <c r="R100" s="85">
        <v>-112344</v>
      </c>
      <c r="S100" s="167"/>
      <c r="T100" s="84">
        <v>139029</v>
      </c>
      <c r="U100" s="84">
        <v>139029</v>
      </c>
      <c r="V100" s="85">
        <v>88977</v>
      </c>
      <c r="X100" s="84">
        <v>66426</v>
      </c>
      <c r="Y100" s="84">
        <v>47828</v>
      </c>
      <c r="AA100" s="85">
        <f>VLOOKUP(A100,'Change in Proportion Calc'!$A$5:$H$319,8,FALSE)+I100+O100+T100+X100</f>
        <v>270172</v>
      </c>
      <c r="AC100" s="84">
        <f t="shared" si="3"/>
        <v>1469774</v>
      </c>
      <c r="AD100" s="84">
        <f t="shared" si="4"/>
        <v>931507</v>
      </c>
      <c r="AF100" s="84">
        <f>VLOOKUP(A100,'OPEB Amounts_Report'!$A$10:$G$324,6,FALSE)</f>
        <v>2149953</v>
      </c>
      <c r="AG100" s="85">
        <f t="shared" si="5"/>
        <v>-680179</v>
      </c>
    </row>
    <row r="101" spans="1:33">
      <c r="A101" s="164">
        <v>2323</v>
      </c>
      <c r="B101" s="168" t="s">
        <v>93</v>
      </c>
      <c r="C101" s="123">
        <f>VLOOKUP($A101,'Change in Proportion Calc'!$A$5:$P$319,12,FALSE)</f>
        <v>9942</v>
      </c>
      <c r="D101" s="123">
        <f>VLOOKUP($A101,'Change in Proportion Calc'!$A$5:$P$319,13,FALSE)</f>
        <v>9942</v>
      </c>
      <c r="E101" s="123">
        <f>VLOOKUP($A101,'Change in Proportion Calc'!$A$5:$P$319,13,FALSE)</f>
        <v>9942</v>
      </c>
      <c r="F101" s="123">
        <f>VLOOKUP($A101,'Change in Proportion Calc'!$A$5:$P$319,13,FALSE)</f>
        <v>9942</v>
      </c>
      <c r="G101" s="123">
        <f>VLOOKUP($A101,'Change in Proportion Calc'!$A$5:$P$319,16,FALSE)</f>
        <v>8848</v>
      </c>
      <c r="H101" s="167"/>
      <c r="I101" s="123">
        <v>324</v>
      </c>
      <c r="J101" s="123">
        <v>324</v>
      </c>
      <c r="K101" s="123">
        <v>324</v>
      </c>
      <c r="L101" s="123">
        <v>324</v>
      </c>
      <c r="M101" s="123">
        <v>317</v>
      </c>
      <c r="N101" s="167"/>
      <c r="O101" s="84">
        <v>41818</v>
      </c>
      <c r="P101" s="84">
        <v>41818</v>
      </c>
      <c r="Q101" s="84">
        <v>41818</v>
      </c>
      <c r="R101" s="85">
        <v>40983</v>
      </c>
      <c r="S101" s="167"/>
      <c r="T101" s="84">
        <v>-10381</v>
      </c>
      <c r="U101" s="84">
        <v>-10381</v>
      </c>
      <c r="V101" s="85">
        <v>-6644</v>
      </c>
      <c r="X101" s="84">
        <v>-9045</v>
      </c>
      <c r="Y101" s="84">
        <v>-6512</v>
      </c>
      <c r="AA101" s="85">
        <f>VLOOKUP(A101,'Change in Proportion Calc'!$A$5:$H$319,8,FALSE)+I101+O101+T101+X101</f>
        <v>32658</v>
      </c>
      <c r="AC101" s="84">
        <f t="shared" si="3"/>
        <v>174524</v>
      </c>
      <c r="AD101" s="84">
        <f t="shared" si="4"/>
        <v>23537</v>
      </c>
      <c r="AF101" s="84">
        <f>VLOOKUP(A101,'OPEB Amounts_Report'!$A$10:$G$324,6,FALSE)</f>
        <v>219262</v>
      </c>
      <c r="AG101" s="85">
        <f t="shared" si="5"/>
        <v>-44738</v>
      </c>
    </row>
    <row r="102" spans="1:33">
      <c r="A102" s="166">
        <v>11034</v>
      </c>
      <c r="B102" s="167" t="s">
        <v>94</v>
      </c>
      <c r="C102" s="123">
        <f>VLOOKUP($A102,'Change in Proportion Calc'!$A$5:$P$319,12,FALSE)</f>
        <v>-11388</v>
      </c>
      <c r="D102" s="123">
        <f>VLOOKUP($A102,'Change in Proportion Calc'!$A$5:$P$319,13,FALSE)</f>
        <v>-11388</v>
      </c>
      <c r="E102" s="123">
        <f>VLOOKUP($A102,'Change in Proportion Calc'!$A$5:$P$319,13,FALSE)</f>
        <v>-11388</v>
      </c>
      <c r="F102" s="123">
        <f>VLOOKUP($A102,'Change in Proportion Calc'!$A$5:$P$319,13,FALSE)</f>
        <v>-11388</v>
      </c>
      <c r="G102" s="123">
        <f>VLOOKUP($A102,'Change in Proportion Calc'!$A$5:$P$319,16,FALSE)</f>
        <v>-10133</v>
      </c>
      <c r="H102" s="167"/>
      <c r="I102" s="123">
        <v>-3078</v>
      </c>
      <c r="J102" s="123">
        <v>-3078</v>
      </c>
      <c r="K102" s="123">
        <v>-3078</v>
      </c>
      <c r="L102" s="123">
        <v>-3078</v>
      </c>
      <c r="M102" s="123">
        <v>-3014</v>
      </c>
      <c r="N102" s="167"/>
      <c r="O102" s="84">
        <v>13310</v>
      </c>
      <c r="P102" s="84">
        <v>13310</v>
      </c>
      <c r="Q102" s="84">
        <v>13310</v>
      </c>
      <c r="R102" s="85">
        <v>13042</v>
      </c>
      <c r="S102" s="167"/>
      <c r="T102" s="84">
        <v>65682</v>
      </c>
      <c r="U102" s="84">
        <v>65682</v>
      </c>
      <c r="V102" s="85">
        <v>42037</v>
      </c>
      <c r="X102" s="84">
        <v>-24606</v>
      </c>
      <c r="Y102" s="84">
        <v>-17716</v>
      </c>
      <c r="AA102" s="85">
        <f>VLOOKUP(A102,'Change in Proportion Calc'!$A$5:$H$319,8,FALSE)+I102+O102+T102+X102</f>
        <v>39920</v>
      </c>
      <c r="AC102" s="84">
        <f t="shared" si="3"/>
        <v>147381</v>
      </c>
      <c r="AD102" s="84">
        <f t="shared" si="4"/>
        <v>85649</v>
      </c>
      <c r="AF102" s="84">
        <f>VLOOKUP(A102,'OPEB Amounts_Report'!$A$10:$G$324,6,FALSE)</f>
        <v>147197</v>
      </c>
      <c r="AG102" s="85">
        <f t="shared" si="5"/>
        <v>184</v>
      </c>
    </row>
    <row r="103" spans="1:33">
      <c r="A103" s="164">
        <v>17054</v>
      </c>
      <c r="B103" s="168" t="s">
        <v>95</v>
      </c>
      <c r="C103" s="123">
        <f>VLOOKUP($A103,'Change in Proportion Calc'!$A$5:$P$319,12,FALSE)</f>
        <v>-133629</v>
      </c>
      <c r="D103" s="123">
        <f>VLOOKUP($A103,'Change in Proportion Calc'!$A$5:$P$319,13,FALSE)</f>
        <v>-133629</v>
      </c>
      <c r="E103" s="123">
        <f>VLOOKUP($A103,'Change in Proportion Calc'!$A$5:$P$319,13,FALSE)</f>
        <v>-133629</v>
      </c>
      <c r="F103" s="123">
        <f>VLOOKUP($A103,'Change in Proportion Calc'!$A$5:$P$319,13,FALSE)</f>
        <v>-133629</v>
      </c>
      <c r="G103" s="123">
        <f>VLOOKUP($A103,'Change in Proportion Calc'!$A$5:$P$319,16,FALSE)</f>
        <v>-118932</v>
      </c>
      <c r="H103" s="167"/>
      <c r="I103" s="123">
        <v>15793</v>
      </c>
      <c r="J103" s="123">
        <v>15793</v>
      </c>
      <c r="K103" s="123">
        <v>15793</v>
      </c>
      <c r="L103" s="123">
        <v>15793</v>
      </c>
      <c r="M103" s="123">
        <v>15477</v>
      </c>
      <c r="N103" s="167"/>
      <c r="O103" s="84">
        <v>73761</v>
      </c>
      <c r="P103" s="84">
        <v>73761</v>
      </c>
      <c r="Q103" s="84">
        <v>73761</v>
      </c>
      <c r="R103" s="85">
        <v>72288</v>
      </c>
      <c r="S103" s="167"/>
      <c r="T103" s="84">
        <v>-35121</v>
      </c>
      <c r="U103" s="84">
        <v>-35121</v>
      </c>
      <c r="V103" s="85">
        <v>-22477</v>
      </c>
      <c r="X103" s="84">
        <v>1130607</v>
      </c>
      <c r="Y103" s="84">
        <v>814035</v>
      </c>
      <c r="AA103" s="85">
        <f>VLOOKUP(A103,'Change in Proportion Calc'!$A$5:$H$319,8,FALSE)+I103+O103+T103+X103</f>
        <v>1051411</v>
      </c>
      <c r="AC103" s="84">
        <f t="shared" si="3"/>
        <v>1096701</v>
      </c>
      <c r="AD103" s="84">
        <f t="shared" si="4"/>
        <v>711046</v>
      </c>
      <c r="AF103" s="84">
        <f>VLOOKUP(A103,'OPEB Amounts_Report'!$A$10:$G$324,6,FALSE)</f>
        <v>2304866</v>
      </c>
      <c r="AG103" s="85">
        <f t="shared" si="5"/>
        <v>-1208165</v>
      </c>
    </row>
    <row r="104" spans="1:33">
      <c r="A104" s="166">
        <v>22065</v>
      </c>
      <c r="B104" s="167" t="s">
        <v>96</v>
      </c>
      <c r="C104" s="123">
        <f>VLOOKUP($A104,'Change in Proportion Calc'!$A$5:$P$319,12,FALSE)</f>
        <v>23036</v>
      </c>
      <c r="D104" s="123">
        <f>VLOOKUP($A104,'Change in Proportion Calc'!$A$5:$P$319,13,FALSE)</f>
        <v>23036</v>
      </c>
      <c r="E104" s="123">
        <f>VLOOKUP($A104,'Change in Proportion Calc'!$A$5:$P$319,13,FALSE)</f>
        <v>23036</v>
      </c>
      <c r="F104" s="123">
        <f>VLOOKUP($A104,'Change in Proportion Calc'!$A$5:$P$319,13,FALSE)</f>
        <v>23036</v>
      </c>
      <c r="G104" s="123">
        <f>VLOOKUP($A104,'Change in Proportion Calc'!$A$5:$P$319,16,FALSE)</f>
        <v>20501</v>
      </c>
      <c r="H104" s="167"/>
      <c r="I104" s="123">
        <v>-4454</v>
      </c>
      <c r="J104" s="123">
        <v>-4454</v>
      </c>
      <c r="K104" s="123">
        <v>-4454</v>
      </c>
      <c r="L104" s="123">
        <v>-4454</v>
      </c>
      <c r="M104" s="123">
        <v>-4367</v>
      </c>
      <c r="N104" s="167"/>
      <c r="O104" s="84">
        <v>46713</v>
      </c>
      <c r="P104" s="84">
        <v>46713</v>
      </c>
      <c r="Q104" s="84">
        <v>46713</v>
      </c>
      <c r="R104" s="85">
        <v>45777</v>
      </c>
      <c r="S104" s="167"/>
      <c r="T104" s="84">
        <v>-7761</v>
      </c>
      <c r="U104" s="84">
        <v>-7761</v>
      </c>
      <c r="V104" s="85">
        <v>-4969</v>
      </c>
      <c r="X104" s="84">
        <v>-5154</v>
      </c>
      <c r="Y104" s="84">
        <v>-3713</v>
      </c>
      <c r="AA104" s="85">
        <f>VLOOKUP(A104,'Change in Proportion Calc'!$A$5:$H$319,8,FALSE)+I104+O104+T104+X104</f>
        <v>52380</v>
      </c>
      <c r="AC104" s="84">
        <f t="shared" si="3"/>
        <v>251848</v>
      </c>
      <c r="AD104" s="84">
        <f t="shared" si="4"/>
        <v>34172</v>
      </c>
      <c r="AF104" s="84">
        <f>VLOOKUP(A104,'OPEB Amounts_Report'!$A$10:$G$324,6,FALSE)</f>
        <v>515778</v>
      </c>
      <c r="AG104" s="85">
        <f t="shared" si="5"/>
        <v>-263930</v>
      </c>
    </row>
    <row r="105" spans="1:33">
      <c r="A105" s="164">
        <v>22201</v>
      </c>
      <c r="B105" s="168" t="s">
        <v>97</v>
      </c>
      <c r="C105" s="123">
        <f>VLOOKUP($A105,'Change in Proportion Calc'!$A$5:$P$319,12,FALSE)</f>
        <v>24112</v>
      </c>
      <c r="D105" s="123">
        <f>VLOOKUP($A105,'Change in Proportion Calc'!$A$5:$P$319,13,FALSE)</f>
        <v>24112</v>
      </c>
      <c r="E105" s="123">
        <f>VLOOKUP($A105,'Change in Proportion Calc'!$A$5:$P$319,13,FALSE)</f>
        <v>24112</v>
      </c>
      <c r="F105" s="123">
        <f>VLOOKUP($A105,'Change in Proportion Calc'!$A$5:$P$319,13,FALSE)</f>
        <v>24112</v>
      </c>
      <c r="G105" s="123">
        <f>VLOOKUP($A105,'Change in Proportion Calc'!$A$5:$P$319,16,FALSE)</f>
        <v>21462</v>
      </c>
      <c r="H105" s="167"/>
      <c r="I105" s="123">
        <v>-9962</v>
      </c>
      <c r="J105" s="123">
        <v>-9962</v>
      </c>
      <c r="K105" s="123">
        <v>-9962</v>
      </c>
      <c r="L105" s="123">
        <v>-9962</v>
      </c>
      <c r="M105" s="123">
        <v>-9761</v>
      </c>
      <c r="N105" s="167"/>
      <c r="O105" s="84">
        <v>30569</v>
      </c>
      <c r="P105" s="84">
        <v>30569</v>
      </c>
      <c r="Q105" s="84">
        <v>30569</v>
      </c>
      <c r="R105" s="85">
        <v>29960</v>
      </c>
      <c r="S105" s="167"/>
      <c r="T105" s="84">
        <v>91489</v>
      </c>
      <c r="U105" s="84">
        <v>91489</v>
      </c>
      <c r="V105" s="85">
        <v>58554</v>
      </c>
      <c r="X105" s="84">
        <v>2723</v>
      </c>
      <c r="Y105" s="84">
        <v>1962</v>
      </c>
      <c r="AA105" s="85">
        <f>VLOOKUP(A105,'Change in Proportion Calc'!$A$5:$H$319,8,FALSE)+I105+O105+T105+X105</f>
        <v>138931</v>
      </c>
      <c r="AC105" s="84">
        <f t="shared" si="3"/>
        <v>361013</v>
      </c>
      <c r="AD105" s="84">
        <f t="shared" si="4"/>
        <v>39647</v>
      </c>
      <c r="AF105" s="84">
        <f>VLOOKUP(A105,'OPEB Amounts_Report'!$A$10:$G$324,6,FALSE)</f>
        <v>264592</v>
      </c>
      <c r="AG105" s="85">
        <f t="shared" si="5"/>
        <v>96421</v>
      </c>
    </row>
    <row r="106" spans="1:33">
      <c r="A106" s="166">
        <v>6016</v>
      </c>
      <c r="B106" s="167" t="s">
        <v>98</v>
      </c>
      <c r="C106" s="123">
        <f>VLOOKUP($A106,'Change in Proportion Calc'!$A$5:$P$319,12,FALSE)</f>
        <v>51810</v>
      </c>
      <c r="D106" s="123">
        <f>VLOOKUP($A106,'Change in Proportion Calc'!$A$5:$P$319,13,FALSE)</f>
        <v>51810</v>
      </c>
      <c r="E106" s="123">
        <f>VLOOKUP($A106,'Change in Proportion Calc'!$A$5:$P$319,13,FALSE)</f>
        <v>51810</v>
      </c>
      <c r="F106" s="123">
        <f>VLOOKUP($A106,'Change in Proportion Calc'!$A$5:$P$319,13,FALSE)</f>
        <v>51810</v>
      </c>
      <c r="G106" s="123">
        <f>VLOOKUP($A106,'Change in Proportion Calc'!$A$5:$P$319,16,FALSE)</f>
        <v>46109</v>
      </c>
      <c r="H106" s="167"/>
      <c r="I106" s="123">
        <v>-37903</v>
      </c>
      <c r="J106" s="123">
        <v>-37903</v>
      </c>
      <c r="K106" s="123">
        <v>-37903</v>
      </c>
      <c r="L106" s="123">
        <v>-37903</v>
      </c>
      <c r="M106" s="123">
        <v>-37145</v>
      </c>
      <c r="N106" s="167"/>
      <c r="O106" s="84">
        <v>68781</v>
      </c>
      <c r="P106" s="84">
        <v>68781</v>
      </c>
      <c r="Q106" s="84">
        <v>68781</v>
      </c>
      <c r="R106" s="85">
        <v>67406</v>
      </c>
      <c r="S106" s="167"/>
      <c r="T106" s="84">
        <v>36188</v>
      </c>
      <c r="U106" s="84">
        <v>36188</v>
      </c>
      <c r="V106" s="85">
        <v>23161</v>
      </c>
      <c r="X106" s="84">
        <v>-12838</v>
      </c>
      <c r="Y106" s="84">
        <v>-9243</v>
      </c>
      <c r="AA106" s="85">
        <f>VLOOKUP(A106,'Change in Proportion Calc'!$A$5:$H$319,8,FALSE)+I106+O106+T106+X106</f>
        <v>106038</v>
      </c>
      <c r="AC106" s="84">
        <f t="shared" si="3"/>
        <v>517666</v>
      </c>
      <c r="AD106" s="84">
        <f t="shared" si="4"/>
        <v>160097</v>
      </c>
      <c r="AF106" s="84">
        <f>VLOOKUP(A106,'OPEB Amounts_Report'!$A$10:$G$324,6,FALSE)</f>
        <v>538905</v>
      </c>
      <c r="AG106" s="85">
        <f t="shared" si="5"/>
        <v>-21239</v>
      </c>
    </row>
    <row r="107" spans="1:33">
      <c r="A107" s="166">
        <v>7440</v>
      </c>
      <c r="B107" s="167" t="s">
        <v>532</v>
      </c>
      <c r="C107" s="123">
        <f>VLOOKUP($A107,'Change in Proportion Calc'!$A$5:$P$319,12,FALSE)</f>
        <v>85679</v>
      </c>
      <c r="D107" s="123">
        <f>VLOOKUP($A107,'Change in Proportion Calc'!$A$5:$P$319,13,FALSE)</f>
        <v>85679</v>
      </c>
      <c r="E107" s="123">
        <f>VLOOKUP($A107,'Change in Proportion Calc'!$A$5:$P$319,13,FALSE)</f>
        <v>85679</v>
      </c>
      <c r="F107" s="123">
        <f>VLOOKUP($A107,'Change in Proportion Calc'!$A$5:$P$319,13,FALSE)</f>
        <v>85679</v>
      </c>
      <c r="G107" s="123">
        <f>VLOOKUP($A107,'Change in Proportion Calc'!$A$5:$P$319,16,FALSE)</f>
        <v>76252</v>
      </c>
      <c r="H107" s="167"/>
      <c r="I107" s="123">
        <v>0</v>
      </c>
      <c r="J107" s="123">
        <v>0</v>
      </c>
      <c r="K107" s="123">
        <v>0</v>
      </c>
      <c r="L107" s="123">
        <v>0</v>
      </c>
      <c r="M107" s="123">
        <v>0</v>
      </c>
      <c r="N107" s="167"/>
      <c r="O107" s="84">
        <v>0</v>
      </c>
      <c r="P107" s="84">
        <v>0</v>
      </c>
      <c r="Q107" s="84">
        <v>0</v>
      </c>
      <c r="R107" s="85">
        <v>0</v>
      </c>
      <c r="S107" s="167"/>
      <c r="T107" s="84">
        <v>0</v>
      </c>
      <c r="U107" s="84">
        <v>0</v>
      </c>
      <c r="V107" s="85">
        <v>0</v>
      </c>
      <c r="X107" s="84">
        <v>0</v>
      </c>
      <c r="Y107" s="84">
        <v>0</v>
      </c>
      <c r="AA107" s="85">
        <f>VLOOKUP(A107,'Change in Proportion Calc'!$A$5:$H$319,8,FALSE)+I107+O107+T107+X107</f>
        <v>85679</v>
      </c>
      <c r="AC107" s="84">
        <f t="shared" si="3"/>
        <v>418968</v>
      </c>
      <c r="AD107" s="84">
        <f t="shared" si="4"/>
        <v>0</v>
      </c>
      <c r="AF107" s="84">
        <f>VLOOKUP(A107,'OPEB Amounts_Report'!$A$10:$G$324,6,FALSE)</f>
        <v>56673</v>
      </c>
      <c r="AG107" s="85">
        <f t="shared" si="5"/>
        <v>362295</v>
      </c>
    </row>
    <row r="108" spans="1:33">
      <c r="A108" s="164">
        <v>2432</v>
      </c>
      <c r="B108" s="168" t="s">
        <v>99</v>
      </c>
      <c r="C108" s="123">
        <f>VLOOKUP($A108,'Change in Proportion Calc'!$A$5:$P$319,12,FALSE)</f>
        <v>306707</v>
      </c>
      <c r="D108" s="123">
        <f>VLOOKUP($A108,'Change in Proportion Calc'!$A$5:$P$319,13,FALSE)</f>
        <v>306707</v>
      </c>
      <c r="E108" s="123">
        <f>VLOOKUP($A108,'Change in Proportion Calc'!$A$5:$P$319,13,FALSE)</f>
        <v>306707</v>
      </c>
      <c r="F108" s="123">
        <f>VLOOKUP($A108,'Change in Proportion Calc'!$A$5:$P$319,13,FALSE)</f>
        <v>306707</v>
      </c>
      <c r="G108" s="123">
        <f>VLOOKUP($A108,'Change in Proportion Calc'!$A$5:$P$319,16,FALSE)</f>
        <v>272968</v>
      </c>
      <c r="H108" s="167"/>
      <c r="I108" s="123">
        <v>147401</v>
      </c>
      <c r="J108" s="123">
        <v>147401</v>
      </c>
      <c r="K108" s="123">
        <v>147401</v>
      </c>
      <c r="L108" s="123">
        <v>147401</v>
      </c>
      <c r="M108" s="123">
        <v>144452</v>
      </c>
      <c r="N108" s="167"/>
      <c r="O108" s="84">
        <v>71958</v>
      </c>
      <c r="P108" s="84">
        <v>71958</v>
      </c>
      <c r="Q108" s="84">
        <v>71958</v>
      </c>
      <c r="R108" s="85">
        <v>70521</v>
      </c>
      <c r="S108" s="167"/>
      <c r="T108" s="84">
        <v>122244</v>
      </c>
      <c r="U108" s="84">
        <v>122244</v>
      </c>
      <c r="V108" s="85">
        <v>78238</v>
      </c>
      <c r="X108" s="84">
        <v>13908</v>
      </c>
      <c r="Y108" s="84">
        <v>10012</v>
      </c>
      <c r="AA108" s="85">
        <f>VLOOKUP(A108,'Change in Proportion Calc'!$A$5:$H$319,8,FALSE)+I108+O108+T108+X108</f>
        <v>662218</v>
      </c>
      <c r="AC108" s="84">
        <f t="shared" si="3"/>
        <v>2511382</v>
      </c>
      <c r="AD108" s="84">
        <f t="shared" si="4"/>
        <v>0</v>
      </c>
      <c r="AF108" s="84">
        <f>VLOOKUP(A108,'OPEB Amounts_Report'!$A$10:$G$324,6,FALSE)</f>
        <v>562643</v>
      </c>
      <c r="AG108" s="85">
        <f t="shared" si="5"/>
        <v>1948739</v>
      </c>
    </row>
    <row r="109" spans="1:33">
      <c r="A109" s="166">
        <v>16052</v>
      </c>
      <c r="B109" s="167" t="s">
        <v>100</v>
      </c>
      <c r="C109" s="123">
        <f>VLOOKUP($A109,'Change in Proportion Calc'!$A$5:$P$319,12,FALSE)</f>
        <v>-65290</v>
      </c>
      <c r="D109" s="123">
        <f>VLOOKUP($A109,'Change in Proportion Calc'!$A$5:$P$319,13,FALSE)</f>
        <v>-65290</v>
      </c>
      <c r="E109" s="123">
        <f>VLOOKUP($A109,'Change in Proportion Calc'!$A$5:$P$319,13,FALSE)</f>
        <v>-65290</v>
      </c>
      <c r="F109" s="123">
        <f>VLOOKUP($A109,'Change in Proportion Calc'!$A$5:$P$319,13,FALSE)</f>
        <v>-65290</v>
      </c>
      <c r="G109" s="123">
        <f>VLOOKUP($A109,'Change in Proportion Calc'!$A$5:$P$319,16,FALSE)</f>
        <v>-58108</v>
      </c>
      <c r="H109" s="167"/>
      <c r="I109" s="123">
        <v>-200044</v>
      </c>
      <c r="J109" s="123">
        <v>-200044</v>
      </c>
      <c r="K109" s="123">
        <v>-200044</v>
      </c>
      <c r="L109" s="123">
        <v>-200044</v>
      </c>
      <c r="M109" s="123">
        <v>-196043</v>
      </c>
      <c r="N109" s="167"/>
      <c r="O109" s="84">
        <v>990156</v>
      </c>
      <c r="P109" s="84">
        <v>990156</v>
      </c>
      <c r="Q109" s="84">
        <v>990156</v>
      </c>
      <c r="R109" s="85">
        <v>970355</v>
      </c>
      <c r="S109" s="167"/>
      <c r="T109" s="84">
        <v>113901</v>
      </c>
      <c r="U109" s="84">
        <v>113901</v>
      </c>
      <c r="V109" s="85">
        <v>72895</v>
      </c>
      <c r="X109" s="84">
        <v>-209782</v>
      </c>
      <c r="Y109" s="84">
        <v>-151044</v>
      </c>
      <c r="AA109" s="85">
        <f>VLOOKUP(A109,'Change in Proportion Calc'!$A$5:$H$319,8,FALSE)+I109+O109+T109+X109</f>
        <v>628941</v>
      </c>
      <c r="AC109" s="84">
        <f t="shared" si="3"/>
        <v>3137463</v>
      </c>
      <c r="AD109" s="84">
        <f t="shared" si="4"/>
        <v>1266487</v>
      </c>
      <c r="AF109" s="84">
        <f>VLOOKUP(A109,'OPEB Amounts_Report'!$A$10:$G$324,6,FALSE)</f>
        <v>6604720</v>
      </c>
      <c r="AG109" s="85">
        <f t="shared" si="5"/>
        <v>-3467257</v>
      </c>
    </row>
    <row r="110" spans="1:33">
      <c r="A110" s="164">
        <v>11118</v>
      </c>
      <c r="B110" s="168" t="s">
        <v>101</v>
      </c>
      <c r="C110" s="123">
        <f>VLOOKUP($A110,'Change in Proportion Calc'!$A$5:$P$319,12,FALSE)</f>
        <v>9935</v>
      </c>
      <c r="D110" s="123">
        <f>VLOOKUP($A110,'Change in Proportion Calc'!$A$5:$P$319,13,FALSE)</f>
        <v>9935</v>
      </c>
      <c r="E110" s="123">
        <f>VLOOKUP($A110,'Change in Proportion Calc'!$A$5:$P$319,13,FALSE)</f>
        <v>9935</v>
      </c>
      <c r="F110" s="123">
        <f>VLOOKUP($A110,'Change in Proportion Calc'!$A$5:$P$319,13,FALSE)</f>
        <v>9935</v>
      </c>
      <c r="G110" s="123">
        <f>VLOOKUP($A110,'Change in Proportion Calc'!$A$5:$P$319,16,FALSE)</f>
        <v>8844</v>
      </c>
      <c r="H110" s="167"/>
      <c r="I110" s="123">
        <v>-28832</v>
      </c>
      <c r="J110" s="123">
        <v>-28832</v>
      </c>
      <c r="K110" s="123">
        <v>-28832</v>
      </c>
      <c r="L110" s="123">
        <v>-28832</v>
      </c>
      <c r="M110" s="123">
        <v>-28257</v>
      </c>
      <c r="N110" s="167"/>
      <c r="O110" s="84">
        <v>-19921</v>
      </c>
      <c r="P110" s="84">
        <v>-19921</v>
      </c>
      <c r="Q110" s="84">
        <v>-19921</v>
      </c>
      <c r="R110" s="85">
        <v>-19525</v>
      </c>
      <c r="S110" s="167"/>
      <c r="T110" s="84">
        <v>7083</v>
      </c>
      <c r="U110" s="84">
        <v>7083</v>
      </c>
      <c r="V110" s="85">
        <v>4531</v>
      </c>
      <c r="X110" s="84">
        <v>5641</v>
      </c>
      <c r="Y110" s="84">
        <v>4061</v>
      </c>
      <c r="AA110" s="85">
        <f>VLOOKUP(A110,'Change in Proportion Calc'!$A$5:$H$319,8,FALSE)+I110+O110+T110+X110</f>
        <v>-26094</v>
      </c>
      <c r="AC110" s="84">
        <f t="shared" si="3"/>
        <v>64259</v>
      </c>
      <c r="AD110" s="84">
        <f t="shared" si="4"/>
        <v>174120</v>
      </c>
      <c r="AF110" s="84">
        <f>VLOOKUP(A110,'OPEB Amounts_Report'!$A$10:$G$324,6,FALSE)</f>
        <v>179404</v>
      </c>
      <c r="AG110" s="85">
        <f t="shared" si="5"/>
        <v>-115145</v>
      </c>
    </row>
    <row r="111" spans="1:33">
      <c r="A111" s="166">
        <v>27083</v>
      </c>
      <c r="B111" s="167" t="s">
        <v>102</v>
      </c>
      <c r="C111" s="123">
        <f>VLOOKUP($A111,'Change in Proportion Calc'!$A$5:$P$319,12,FALSE)</f>
        <v>1535</v>
      </c>
      <c r="D111" s="123">
        <f>VLOOKUP($A111,'Change in Proportion Calc'!$A$5:$P$319,13,FALSE)</f>
        <v>1535</v>
      </c>
      <c r="E111" s="123">
        <f>VLOOKUP($A111,'Change in Proportion Calc'!$A$5:$P$319,13,FALSE)</f>
        <v>1535</v>
      </c>
      <c r="F111" s="123">
        <f>VLOOKUP($A111,'Change in Proportion Calc'!$A$5:$P$319,13,FALSE)</f>
        <v>1535</v>
      </c>
      <c r="G111" s="123">
        <f>VLOOKUP($A111,'Change in Proportion Calc'!$A$5:$P$319,16,FALSE)</f>
        <v>1368</v>
      </c>
      <c r="H111" s="167"/>
      <c r="I111" s="123">
        <v>-11824</v>
      </c>
      <c r="J111" s="123">
        <v>-11824</v>
      </c>
      <c r="K111" s="123">
        <v>-11824</v>
      </c>
      <c r="L111" s="123">
        <v>-11824</v>
      </c>
      <c r="M111" s="123">
        <v>-11590</v>
      </c>
      <c r="N111" s="167"/>
      <c r="O111" s="84">
        <v>30741</v>
      </c>
      <c r="P111" s="84">
        <v>30741</v>
      </c>
      <c r="Q111" s="84">
        <v>30741</v>
      </c>
      <c r="R111" s="85">
        <v>30127</v>
      </c>
      <c r="S111" s="167"/>
      <c r="T111" s="84">
        <v>-3202</v>
      </c>
      <c r="U111" s="84">
        <v>-3202</v>
      </c>
      <c r="V111" s="85">
        <v>-2047</v>
      </c>
      <c r="X111" s="84">
        <v>-1556</v>
      </c>
      <c r="Y111" s="84">
        <v>-1121</v>
      </c>
      <c r="AA111" s="85">
        <f>VLOOKUP(A111,'Change in Proportion Calc'!$A$5:$H$319,8,FALSE)+I111+O111+T111+X111</f>
        <v>15694</v>
      </c>
      <c r="AC111" s="84">
        <f t="shared" si="3"/>
        <v>99117</v>
      </c>
      <c r="AD111" s="84">
        <f t="shared" si="4"/>
        <v>53432</v>
      </c>
      <c r="AF111" s="84">
        <f>VLOOKUP(A111,'OPEB Amounts_Report'!$A$10:$G$324,6,FALSE)</f>
        <v>271953</v>
      </c>
      <c r="AG111" s="85">
        <f t="shared" si="5"/>
        <v>-172836</v>
      </c>
    </row>
    <row r="112" spans="1:33">
      <c r="A112" s="164">
        <v>7021</v>
      </c>
      <c r="B112" s="168" t="s">
        <v>103</v>
      </c>
      <c r="C112" s="123">
        <f>VLOOKUP($A112,'Change in Proportion Calc'!$A$5:$P$319,12,FALSE)</f>
        <v>-247750</v>
      </c>
      <c r="D112" s="123">
        <f>VLOOKUP($A112,'Change in Proportion Calc'!$A$5:$P$319,13,FALSE)</f>
        <v>-247750</v>
      </c>
      <c r="E112" s="123">
        <f>VLOOKUP($A112,'Change in Proportion Calc'!$A$5:$P$319,13,FALSE)</f>
        <v>-247750</v>
      </c>
      <c r="F112" s="123">
        <f>VLOOKUP($A112,'Change in Proportion Calc'!$A$5:$P$319,13,FALSE)</f>
        <v>-247750</v>
      </c>
      <c r="G112" s="123">
        <f>VLOOKUP($A112,'Change in Proportion Calc'!$A$5:$P$319,16,FALSE)</f>
        <v>-220497</v>
      </c>
      <c r="H112" s="167"/>
      <c r="I112" s="123">
        <v>278442</v>
      </c>
      <c r="J112" s="123">
        <v>278442</v>
      </c>
      <c r="K112" s="123">
        <v>278442</v>
      </c>
      <c r="L112" s="123">
        <v>278442</v>
      </c>
      <c r="M112" s="123">
        <v>272872</v>
      </c>
      <c r="N112" s="167"/>
      <c r="O112" s="84">
        <v>584597</v>
      </c>
      <c r="P112" s="84">
        <v>584597</v>
      </c>
      <c r="Q112" s="84">
        <v>584597</v>
      </c>
      <c r="R112" s="85">
        <v>572903</v>
      </c>
      <c r="S112" s="167"/>
      <c r="T112" s="84">
        <v>89646</v>
      </c>
      <c r="U112" s="84">
        <v>89646</v>
      </c>
      <c r="V112" s="85">
        <v>57373</v>
      </c>
      <c r="X112" s="84">
        <v>-717072</v>
      </c>
      <c r="Y112" s="84">
        <v>-516292</v>
      </c>
      <c r="AA112" s="85">
        <f>VLOOKUP(A112,'Change in Proportion Calc'!$A$5:$H$319,8,FALSE)+I112+O112+T112+X112</f>
        <v>-12137</v>
      </c>
      <c r="AC112" s="84">
        <f t="shared" si="3"/>
        <v>2997314</v>
      </c>
      <c r="AD112" s="84">
        <f t="shared" si="4"/>
        <v>1727789</v>
      </c>
      <c r="AF112" s="84">
        <f>VLOOKUP(A112,'OPEB Amounts_Report'!$A$10:$G$324,6,FALSE)</f>
        <v>8867076</v>
      </c>
      <c r="AG112" s="85">
        <f t="shared" si="5"/>
        <v>-5869762</v>
      </c>
    </row>
    <row r="113" spans="1:33">
      <c r="A113" s="166">
        <v>4140</v>
      </c>
      <c r="B113" s="167" t="s">
        <v>104</v>
      </c>
      <c r="C113" s="123">
        <f>VLOOKUP($A113,'Change in Proportion Calc'!$A$5:$P$319,12,FALSE)</f>
        <v>-6762</v>
      </c>
      <c r="D113" s="123">
        <f>VLOOKUP($A113,'Change in Proportion Calc'!$A$5:$P$319,13,FALSE)</f>
        <v>-6762</v>
      </c>
      <c r="E113" s="123">
        <f>VLOOKUP($A113,'Change in Proportion Calc'!$A$5:$P$319,13,FALSE)</f>
        <v>-6762</v>
      </c>
      <c r="F113" s="123">
        <f>VLOOKUP($A113,'Change in Proportion Calc'!$A$5:$P$319,13,FALSE)</f>
        <v>-6762</v>
      </c>
      <c r="G113" s="123">
        <f>VLOOKUP($A113,'Change in Proportion Calc'!$A$5:$P$319,16,FALSE)</f>
        <v>-6016</v>
      </c>
      <c r="H113" s="167"/>
      <c r="I113" s="123">
        <v>4859</v>
      </c>
      <c r="J113" s="123">
        <v>4859</v>
      </c>
      <c r="K113" s="123">
        <v>4859</v>
      </c>
      <c r="L113" s="123">
        <v>4859</v>
      </c>
      <c r="M113" s="123">
        <v>4764</v>
      </c>
      <c r="N113" s="167"/>
      <c r="O113" s="84">
        <v>5582</v>
      </c>
      <c r="P113" s="84">
        <v>5582</v>
      </c>
      <c r="Q113" s="84">
        <v>5582</v>
      </c>
      <c r="R113" s="85">
        <v>5468</v>
      </c>
      <c r="S113" s="167"/>
      <c r="T113" s="84">
        <v>0</v>
      </c>
      <c r="U113" s="84">
        <v>0</v>
      </c>
      <c r="V113" s="85">
        <v>0</v>
      </c>
      <c r="X113" s="84">
        <v>-9336</v>
      </c>
      <c r="Y113" s="84">
        <v>-6724</v>
      </c>
      <c r="AA113" s="85">
        <f>VLOOKUP(A113,'Change in Proportion Calc'!$A$5:$H$319,8,FALSE)+I113+O113+T113+X113</f>
        <v>-5657</v>
      </c>
      <c r="AC113" s="84">
        <f t="shared" si="3"/>
        <v>35973</v>
      </c>
      <c r="AD113" s="84">
        <f t="shared" si="4"/>
        <v>39788</v>
      </c>
      <c r="AF113" s="84">
        <f>VLOOKUP(A113,'OPEB Amounts_Report'!$A$10:$G$324,6,FALSE)</f>
        <v>54371</v>
      </c>
      <c r="AG113" s="85">
        <f t="shared" si="5"/>
        <v>-18398</v>
      </c>
    </row>
    <row r="114" spans="1:33">
      <c r="A114" s="164">
        <v>13041</v>
      </c>
      <c r="B114" s="168" t="s">
        <v>105</v>
      </c>
      <c r="C114" s="123">
        <f>VLOOKUP($A114,'Change in Proportion Calc'!$A$5:$P$319,12,FALSE)</f>
        <v>-341528</v>
      </c>
      <c r="D114" s="123">
        <f>VLOOKUP($A114,'Change in Proportion Calc'!$A$5:$P$319,13,FALSE)</f>
        <v>-341528</v>
      </c>
      <c r="E114" s="123">
        <f>VLOOKUP($A114,'Change in Proportion Calc'!$A$5:$P$319,13,FALSE)</f>
        <v>-341528</v>
      </c>
      <c r="F114" s="123">
        <f>VLOOKUP($A114,'Change in Proportion Calc'!$A$5:$P$319,13,FALSE)</f>
        <v>-341528</v>
      </c>
      <c r="G114" s="123">
        <f>VLOOKUP($A114,'Change in Proportion Calc'!$A$5:$P$319,16,FALSE)</f>
        <v>-303962</v>
      </c>
      <c r="H114" s="167"/>
      <c r="I114" s="123">
        <v>-563767</v>
      </c>
      <c r="J114" s="123">
        <v>-563767</v>
      </c>
      <c r="K114" s="123">
        <v>-563767</v>
      </c>
      <c r="L114" s="123">
        <v>-563767</v>
      </c>
      <c r="M114" s="123">
        <v>-552494</v>
      </c>
      <c r="N114" s="167"/>
      <c r="O114" s="84">
        <v>-143916</v>
      </c>
      <c r="P114" s="84">
        <v>-143916</v>
      </c>
      <c r="Q114" s="84">
        <v>-143916</v>
      </c>
      <c r="R114" s="85">
        <v>-141040</v>
      </c>
      <c r="S114" s="167"/>
      <c r="T114" s="84">
        <v>372651</v>
      </c>
      <c r="U114" s="84">
        <v>372651</v>
      </c>
      <c r="V114" s="85">
        <v>238498</v>
      </c>
      <c r="X114" s="84">
        <v>362086</v>
      </c>
      <c r="Y114" s="84">
        <v>260701</v>
      </c>
      <c r="AA114" s="85">
        <f>VLOOKUP(A114,'Change in Proportion Calc'!$A$5:$H$319,8,FALSE)+I114+O114+T114+X114</f>
        <v>-314474</v>
      </c>
      <c r="AC114" s="84">
        <f t="shared" si="3"/>
        <v>871850</v>
      </c>
      <c r="AD114" s="84">
        <f t="shared" si="4"/>
        <v>4342741</v>
      </c>
      <c r="AF114" s="84">
        <f>VLOOKUP(A114,'OPEB Amounts_Report'!$A$10:$G$324,6,FALSE)</f>
        <v>7781274</v>
      </c>
      <c r="AG114" s="85">
        <f t="shared" si="5"/>
        <v>-6909424</v>
      </c>
    </row>
    <row r="115" spans="1:33">
      <c r="A115" s="166">
        <v>2339</v>
      </c>
      <c r="B115" s="167" t="s">
        <v>106</v>
      </c>
      <c r="C115" s="123">
        <f>VLOOKUP($A115,'Change in Proportion Calc'!$A$5:$P$319,12,FALSE)</f>
        <v>-21633</v>
      </c>
      <c r="D115" s="123">
        <f>VLOOKUP($A115,'Change in Proportion Calc'!$A$5:$P$319,13,FALSE)</f>
        <v>-21633</v>
      </c>
      <c r="E115" s="123">
        <f>VLOOKUP($A115,'Change in Proportion Calc'!$A$5:$P$319,13,FALSE)</f>
        <v>-21633</v>
      </c>
      <c r="F115" s="123">
        <f>VLOOKUP($A115,'Change in Proportion Calc'!$A$5:$P$319,13,FALSE)</f>
        <v>-21633</v>
      </c>
      <c r="G115" s="123">
        <f>VLOOKUP($A115,'Change in Proportion Calc'!$A$5:$P$319,16,FALSE)</f>
        <v>-19253</v>
      </c>
      <c r="H115" s="167"/>
      <c r="I115" s="123">
        <v>7775</v>
      </c>
      <c r="J115" s="123">
        <v>7775</v>
      </c>
      <c r="K115" s="123">
        <v>7775</v>
      </c>
      <c r="L115" s="123">
        <v>7775</v>
      </c>
      <c r="M115" s="123">
        <v>7619</v>
      </c>
      <c r="N115" s="167"/>
      <c r="O115" s="84">
        <v>-773</v>
      </c>
      <c r="P115" s="84">
        <v>-773</v>
      </c>
      <c r="Q115" s="84">
        <v>-773</v>
      </c>
      <c r="R115" s="85">
        <v>-756</v>
      </c>
      <c r="S115" s="167"/>
      <c r="T115" s="84">
        <v>-18531</v>
      </c>
      <c r="U115" s="84">
        <v>-18531</v>
      </c>
      <c r="V115" s="85">
        <v>-11858</v>
      </c>
      <c r="X115" s="84">
        <v>-17604</v>
      </c>
      <c r="Y115" s="84">
        <v>-12673</v>
      </c>
      <c r="AA115" s="85">
        <f>VLOOKUP(A115,'Change in Proportion Calc'!$A$5:$H$319,8,FALSE)+I115+O115+T115+X115</f>
        <v>-50766</v>
      </c>
      <c r="AC115" s="84">
        <f t="shared" si="3"/>
        <v>30944</v>
      </c>
      <c r="AD115" s="84">
        <f t="shared" si="4"/>
        <v>151149</v>
      </c>
      <c r="AF115" s="84">
        <f>VLOOKUP(A115,'OPEB Amounts_Report'!$A$10:$G$324,6,FALSE)</f>
        <v>103625</v>
      </c>
      <c r="AG115" s="85">
        <f t="shared" si="5"/>
        <v>-72681</v>
      </c>
    </row>
    <row r="116" spans="1:33">
      <c r="A116" s="164">
        <v>2362</v>
      </c>
      <c r="B116" s="168" t="s">
        <v>107</v>
      </c>
      <c r="C116" s="123">
        <f>VLOOKUP($A116,'Change in Proportion Calc'!$A$5:$P$319,12,FALSE)</f>
        <v>15416</v>
      </c>
      <c r="D116" s="123">
        <f>VLOOKUP($A116,'Change in Proportion Calc'!$A$5:$P$319,13,FALSE)</f>
        <v>15416</v>
      </c>
      <c r="E116" s="123">
        <f>VLOOKUP($A116,'Change in Proportion Calc'!$A$5:$P$319,13,FALSE)</f>
        <v>15416</v>
      </c>
      <c r="F116" s="123">
        <f>VLOOKUP($A116,'Change in Proportion Calc'!$A$5:$P$319,13,FALSE)</f>
        <v>15416</v>
      </c>
      <c r="G116" s="123">
        <f>VLOOKUP($A116,'Change in Proportion Calc'!$A$5:$P$319,16,FALSE)</f>
        <v>13718</v>
      </c>
      <c r="H116" s="167"/>
      <c r="I116" s="123">
        <v>-101723</v>
      </c>
      <c r="J116" s="123">
        <v>-101723</v>
      </c>
      <c r="K116" s="123">
        <v>-101723</v>
      </c>
      <c r="L116" s="123">
        <v>-101723</v>
      </c>
      <c r="M116" s="123">
        <v>-99687</v>
      </c>
      <c r="N116" s="167"/>
      <c r="O116" s="84">
        <v>-14254</v>
      </c>
      <c r="P116" s="84">
        <v>-14254</v>
      </c>
      <c r="Q116" s="84">
        <v>-14254</v>
      </c>
      <c r="R116" s="85">
        <v>-13971</v>
      </c>
      <c r="S116" s="167"/>
      <c r="T116" s="84">
        <v>8053</v>
      </c>
      <c r="U116" s="84">
        <v>8053</v>
      </c>
      <c r="V116" s="85">
        <v>5152</v>
      </c>
      <c r="X116" s="84">
        <v>50476</v>
      </c>
      <c r="Y116" s="84">
        <v>36343</v>
      </c>
      <c r="AA116" s="85">
        <f>VLOOKUP(A116,'Change in Proportion Calc'!$A$5:$H$319,8,FALSE)+I116+O116+T116+X116</f>
        <v>-42033</v>
      </c>
      <c r="AC116" s="84">
        <f t="shared" si="3"/>
        <v>124930</v>
      </c>
      <c r="AD116" s="84">
        <f t="shared" si="4"/>
        <v>447335</v>
      </c>
      <c r="AF116" s="84">
        <f>VLOOKUP(A116,'OPEB Amounts_Report'!$A$10:$G$324,6,FALSE)</f>
        <v>161079</v>
      </c>
      <c r="AG116" s="85">
        <f t="shared" si="5"/>
        <v>-36149</v>
      </c>
    </row>
    <row r="117" spans="1:33">
      <c r="A117" s="166">
        <v>5013</v>
      </c>
      <c r="B117" s="167" t="s">
        <v>108</v>
      </c>
      <c r="C117" s="123">
        <f>VLOOKUP($A117,'Change in Proportion Calc'!$A$5:$P$319,12,FALSE)</f>
        <v>-3192</v>
      </c>
      <c r="D117" s="123">
        <f>VLOOKUP($A117,'Change in Proportion Calc'!$A$5:$P$319,13,FALSE)</f>
        <v>-3192</v>
      </c>
      <c r="E117" s="123">
        <f>VLOOKUP($A117,'Change in Proportion Calc'!$A$5:$P$319,13,FALSE)</f>
        <v>-3192</v>
      </c>
      <c r="F117" s="123">
        <f>VLOOKUP($A117,'Change in Proportion Calc'!$A$5:$P$319,13,FALSE)</f>
        <v>-3192</v>
      </c>
      <c r="G117" s="123">
        <f>VLOOKUP($A117,'Change in Proportion Calc'!$A$5:$P$319,16,FALSE)</f>
        <v>-2840</v>
      </c>
      <c r="H117" s="167"/>
      <c r="I117" s="123">
        <v>7370</v>
      </c>
      <c r="J117" s="123">
        <v>7370</v>
      </c>
      <c r="K117" s="123">
        <v>7370</v>
      </c>
      <c r="L117" s="123">
        <v>7370</v>
      </c>
      <c r="M117" s="123">
        <v>7223</v>
      </c>
      <c r="N117" s="167"/>
      <c r="O117" s="84">
        <v>2662</v>
      </c>
      <c r="P117" s="84">
        <v>2662</v>
      </c>
      <c r="Q117" s="84">
        <v>2662</v>
      </c>
      <c r="R117" s="85">
        <v>2608</v>
      </c>
      <c r="S117" s="167"/>
      <c r="T117" s="84">
        <v>-2038</v>
      </c>
      <c r="U117" s="84">
        <v>-2038</v>
      </c>
      <c r="V117" s="85">
        <v>-1302</v>
      </c>
      <c r="X117" s="84">
        <v>-486</v>
      </c>
      <c r="Y117" s="84">
        <v>-352</v>
      </c>
      <c r="AA117" s="85">
        <f>VLOOKUP(A117,'Change in Proportion Calc'!$A$5:$H$319,8,FALSE)+I117+O117+T117+X117</f>
        <v>4316</v>
      </c>
      <c r="AC117" s="84">
        <f t="shared" si="3"/>
        <v>37265</v>
      </c>
      <c r="AD117" s="84">
        <f t="shared" si="4"/>
        <v>19300</v>
      </c>
      <c r="AF117" s="84">
        <f>VLOOKUP(A117,'OPEB Amounts_Report'!$A$10:$G$324,6,FALSE)</f>
        <v>142507</v>
      </c>
      <c r="AG117" s="85">
        <f t="shared" si="5"/>
        <v>-105242</v>
      </c>
    </row>
    <row r="118" spans="1:33">
      <c r="A118" s="164">
        <v>3110</v>
      </c>
      <c r="B118" s="168" t="s">
        <v>109</v>
      </c>
      <c r="C118" s="123">
        <f>VLOOKUP($A118,'Change in Proportion Calc'!$A$5:$P$319,12,FALSE)</f>
        <v>-54268</v>
      </c>
      <c r="D118" s="123">
        <f>VLOOKUP($A118,'Change in Proportion Calc'!$A$5:$P$319,13,FALSE)</f>
        <v>-54268</v>
      </c>
      <c r="E118" s="123">
        <f>VLOOKUP($A118,'Change in Proportion Calc'!$A$5:$P$319,13,FALSE)</f>
        <v>-54268</v>
      </c>
      <c r="F118" s="123">
        <f>VLOOKUP($A118,'Change in Proportion Calc'!$A$5:$P$319,13,FALSE)</f>
        <v>-54268</v>
      </c>
      <c r="G118" s="123">
        <f>VLOOKUP($A118,'Change in Proportion Calc'!$A$5:$P$319,16,FALSE)</f>
        <v>-48300</v>
      </c>
      <c r="H118" s="167"/>
      <c r="I118" s="123">
        <v>3483</v>
      </c>
      <c r="J118" s="123">
        <v>3483</v>
      </c>
      <c r="K118" s="123">
        <v>3483</v>
      </c>
      <c r="L118" s="123">
        <v>3483</v>
      </c>
      <c r="M118" s="123">
        <v>3411</v>
      </c>
      <c r="N118" s="167"/>
      <c r="O118" s="84">
        <v>-60022</v>
      </c>
      <c r="P118" s="84">
        <v>-60022</v>
      </c>
      <c r="Q118" s="84">
        <v>-60022</v>
      </c>
      <c r="R118" s="85">
        <v>-58824</v>
      </c>
      <c r="S118" s="167"/>
      <c r="T118" s="84">
        <v>-55398</v>
      </c>
      <c r="U118" s="84">
        <v>-55398</v>
      </c>
      <c r="V118" s="85">
        <v>-35455</v>
      </c>
      <c r="X118" s="84">
        <v>-57868</v>
      </c>
      <c r="Y118" s="84">
        <v>-41663</v>
      </c>
      <c r="AA118" s="85">
        <f>VLOOKUP(A118,'Change in Proportion Calc'!$A$5:$H$319,8,FALSE)+I118+O118+T118+X118</f>
        <v>-224073</v>
      </c>
      <c r="AC118" s="84">
        <f t="shared" si="3"/>
        <v>13860</v>
      </c>
      <c r="AD118" s="84">
        <f t="shared" si="4"/>
        <v>576756</v>
      </c>
      <c r="AF118" s="84">
        <f>VLOOKUP(A118,'OPEB Amounts_Report'!$A$10:$G$324,6,FALSE)</f>
        <v>694298</v>
      </c>
      <c r="AG118" s="85">
        <f t="shared" si="5"/>
        <v>-680438</v>
      </c>
    </row>
    <row r="119" spans="1:33">
      <c r="A119" s="166">
        <v>14044</v>
      </c>
      <c r="B119" s="167" t="s">
        <v>110</v>
      </c>
      <c r="C119" s="123">
        <f>VLOOKUP($A119,'Change in Proportion Calc'!$A$5:$P$319,12,FALSE)</f>
        <v>-179449</v>
      </c>
      <c r="D119" s="123">
        <f>VLOOKUP($A119,'Change in Proportion Calc'!$A$5:$P$319,13,FALSE)</f>
        <v>-179449</v>
      </c>
      <c r="E119" s="123">
        <f>VLOOKUP($A119,'Change in Proportion Calc'!$A$5:$P$319,13,FALSE)</f>
        <v>-179449</v>
      </c>
      <c r="F119" s="123">
        <f>VLOOKUP($A119,'Change in Proportion Calc'!$A$5:$P$319,13,FALSE)</f>
        <v>-179449</v>
      </c>
      <c r="G119" s="123">
        <f>VLOOKUP($A119,'Change in Proportion Calc'!$A$5:$P$319,16,FALSE)</f>
        <v>-159708</v>
      </c>
      <c r="H119" s="167"/>
      <c r="I119" s="123">
        <v>-69570</v>
      </c>
      <c r="J119" s="123">
        <v>-69570</v>
      </c>
      <c r="K119" s="123">
        <v>-69570</v>
      </c>
      <c r="L119" s="123">
        <v>-69570</v>
      </c>
      <c r="M119" s="123">
        <v>-68178</v>
      </c>
      <c r="N119" s="167"/>
      <c r="O119" s="84">
        <v>164697</v>
      </c>
      <c r="P119" s="84">
        <v>164697</v>
      </c>
      <c r="Q119" s="84">
        <v>164697</v>
      </c>
      <c r="R119" s="85">
        <v>161402</v>
      </c>
      <c r="S119" s="167"/>
      <c r="T119" s="84">
        <v>-58891</v>
      </c>
      <c r="U119" s="84">
        <v>-58891</v>
      </c>
      <c r="V119" s="85">
        <v>-37689</v>
      </c>
      <c r="X119" s="84">
        <v>-88114</v>
      </c>
      <c r="Y119" s="84">
        <v>-63444</v>
      </c>
      <c r="AA119" s="85">
        <f>VLOOKUP(A119,'Change in Proportion Calc'!$A$5:$H$319,8,FALSE)+I119+O119+T119+X119</f>
        <v>-231327</v>
      </c>
      <c r="AC119" s="84">
        <f t="shared" si="3"/>
        <v>490796</v>
      </c>
      <c r="AD119" s="84">
        <f t="shared" si="4"/>
        <v>1314416</v>
      </c>
      <c r="AF119" s="84">
        <f>VLOOKUP(A119,'OPEB Amounts_Report'!$A$10:$G$324,6,FALSE)</f>
        <v>2207034</v>
      </c>
      <c r="AG119" s="85">
        <f t="shared" si="5"/>
        <v>-1716238</v>
      </c>
    </row>
    <row r="120" spans="1:33">
      <c r="A120" s="164">
        <v>4009</v>
      </c>
      <c r="B120" s="168" t="s">
        <v>111</v>
      </c>
      <c r="C120" s="123">
        <f>VLOOKUP($A120,'Change in Proportion Calc'!$A$5:$P$319,12,FALSE)</f>
        <v>-37702</v>
      </c>
      <c r="D120" s="123">
        <f>VLOOKUP($A120,'Change in Proportion Calc'!$A$5:$P$319,13,FALSE)</f>
        <v>-37702</v>
      </c>
      <c r="E120" s="123">
        <f>VLOOKUP($A120,'Change in Proportion Calc'!$A$5:$P$319,13,FALSE)</f>
        <v>-37702</v>
      </c>
      <c r="F120" s="123">
        <f>VLOOKUP($A120,'Change in Proportion Calc'!$A$5:$P$319,13,FALSE)</f>
        <v>-37702</v>
      </c>
      <c r="G120" s="123">
        <f>VLOOKUP($A120,'Change in Proportion Calc'!$A$5:$P$319,16,FALSE)</f>
        <v>-33557</v>
      </c>
      <c r="H120" s="167"/>
      <c r="I120" s="123">
        <v>-17818</v>
      </c>
      <c r="J120" s="123">
        <v>-17818</v>
      </c>
      <c r="K120" s="123">
        <v>-17818</v>
      </c>
      <c r="L120" s="123">
        <v>-17818</v>
      </c>
      <c r="M120" s="123">
        <v>-17460</v>
      </c>
      <c r="N120" s="167"/>
      <c r="O120" s="84">
        <v>-22240</v>
      </c>
      <c r="P120" s="84">
        <v>-22240</v>
      </c>
      <c r="Q120" s="84">
        <v>-22240</v>
      </c>
      <c r="R120" s="85">
        <v>-21796</v>
      </c>
      <c r="S120" s="167"/>
      <c r="T120" s="84">
        <v>-40651</v>
      </c>
      <c r="U120" s="84">
        <v>-40651</v>
      </c>
      <c r="V120" s="85">
        <v>-26017</v>
      </c>
      <c r="X120" s="84">
        <v>16533</v>
      </c>
      <c r="Y120" s="84">
        <v>11906</v>
      </c>
      <c r="AA120" s="85">
        <f>VLOOKUP(A120,'Change in Proportion Calc'!$A$5:$H$319,8,FALSE)+I120+O120+T120+X120</f>
        <v>-101878</v>
      </c>
      <c r="AC120" s="84">
        <f t="shared" si="3"/>
        <v>11906</v>
      </c>
      <c r="AD120" s="84">
        <f t="shared" si="4"/>
        <v>388223</v>
      </c>
      <c r="AF120" s="84">
        <f>VLOOKUP(A120,'OPEB Amounts_Report'!$A$10:$G$324,6,FALSE)</f>
        <v>286247</v>
      </c>
      <c r="AG120" s="85">
        <f t="shared" si="5"/>
        <v>-274341</v>
      </c>
    </row>
    <row r="121" spans="1:33">
      <c r="A121" s="166">
        <v>7022</v>
      </c>
      <c r="B121" s="167" t="s">
        <v>112</v>
      </c>
      <c r="C121" s="123">
        <f>VLOOKUP($A121,'Change in Proportion Calc'!$A$5:$P$319,12,FALSE)</f>
        <v>99029</v>
      </c>
      <c r="D121" s="123">
        <f>VLOOKUP($A121,'Change in Proportion Calc'!$A$5:$P$319,13,FALSE)</f>
        <v>99029</v>
      </c>
      <c r="E121" s="123">
        <f>VLOOKUP($A121,'Change in Proportion Calc'!$A$5:$P$319,13,FALSE)</f>
        <v>99029</v>
      </c>
      <c r="F121" s="123">
        <f>VLOOKUP($A121,'Change in Proportion Calc'!$A$5:$P$319,13,FALSE)</f>
        <v>99029</v>
      </c>
      <c r="G121" s="123">
        <f>VLOOKUP($A121,'Change in Proportion Calc'!$A$5:$P$319,16,FALSE)</f>
        <v>88134</v>
      </c>
      <c r="H121" s="167"/>
      <c r="I121" s="123">
        <v>-18304</v>
      </c>
      <c r="J121" s="123">
        <v>-18304</v>
      </c>
      <c r="K121" s="123">
        <v>-18304</v>
      </c>
      <c r="L121" s="123">
        <v>-18304</v>
      </c>
      <c r="M121" s="123">
        <v>-17936</v>
      </c>
      <c r="N121" s="167"/>
      <c r="O121" s="84">
        <v>44222</v>
      </c>
      <c r="P121" s="84">
        <v>44222</v>
      </c>
      <c r="Q121" s="84">
        <v>44222</v>
      </c>
      <c r="R121" s="85">
        <v>43340</v>
      </c>
      <c r="S121" s="167"/>
      <c r="T121" s="84">
        <v>17658</v>
      </c>
      <c r="U121" s="84">
        <v>17658</v>
      </c>
      <c r="V121" s="85">
        <v>11299</v>
      </c>
      <c r="X121" s="84">
        <v>-20132</v>
      </c>
      <c r="Y121" s="84">
        <v>-14496</v>
      </c>
      <c r="AA121" s="85">
        <f>VLOOKUP(A121,'Change in Proportion Calc'!$A$5:$H$319,8,FALSE)+I121+O121+T121+X121</f>
        <v>122473</v>
      </c>
      <c r="AC121" s="84">
        <f t="shared" si="3"/>
        <v>644991</v>
      </c>
      <c r="AD121" s="84">
        <f t="shared" si="4"/>
        <v>87344</v>
      </c>
      <c r="AF121" s="84">
        <f>VLOOKUP(A121,'OPEB Amounts_Report'!$A$10:$G$324,6,FALSE)</f>
        <v>888526</v>
      </c>
      <c r="AG121" s="85">
        <f t="shared" si="5"/>
        <v>-243535</v>
      </c>
    </row>
    <row r="122" spans="1:33">
      <c r="A122" s="164">
        <v>2430</v>
      </c>
      <c r="B122" s="168" t="s">
        <v>113</v>
      </c>
      <c r="C122" s="123">
        <f>VLOOKUP($A122,'Change in Proportion Calc'!$A$5:$P$319,12,FALSE)</f>
        <v>-1580</v>
      </c>
      <c r="D122" s="123">
        <f>VLOOKUP($A122,'Change in Proportion Calc'!$A$5:$P$319,13,FALSE)</f>
        <v>-1580</v>
      </c>
      <c r="E122" s="123">
        <f>VLOOKUP($A122,'Change in Proportion Calc'!$A$5:$P$319,13,FALSE)</f>
        <v>-1580</v>
      </c>
      <c r="F122" s="123">
        <f>VLOOKUP($A122,'Change in Proportion Calc'!$A$5:$P$319,13,FALSE)</f>
        <v>-1580</v>
      </c>
      <c r="G122" s="123">
        <f>VLOOKUP($A122,'Change in Proportion Calc'!$A$5:$P$319,16,FALSE)</f>
        <v>-1408</v>
      </c>
      <c r="H122" s="167"/>
      <c r="I122" s="123">
        <v>-7775</v>
      </c>
      <c r="J122" s="123">
        <v>-7775</v>
      </c>
      <c r="K122" s="123">
        <v>-7775</v>
      </c>
      <c r="L122" s="123">
        <v>-7775</v>
      </c>
      <c r="M122" s="123">
        <v>-7619</v>
      </c>
      <c r="N122" s="167"/>
      <c r="O122" s="84">
        <v>-42505</v>
      </c>
      <c r="P122" s="84">
        <v>-42505</v>
      </c>
      <c r="Q122" s="84">
        <v>-42505</v>
      </c>
      <c r="R122" s="85">
        <v>-41656</v>
      </c>
      <c r="S122" s="167"/>
      <c r="T122" s="84">
        <v>6694</v>
      </c>
      <c r="U122" s="84">
        <v>6694</v>
      </c>
      <c r="V122" s="85">
        <v>4286</v>
      </c>
      <c r="X122" s="84">
        <v>16144</v>
      </c>
      <c r="Y122" s="84">
        <v>11626</v>
      </c>
      <c r="AA122" s="85">
        <f>VLOOKUP(A122,'Change in Proportion Calc'!$A$5:$H$319,8,FALSE)+I122+O122+T122+X122</f>
        <v>-29022</v>
      </c>
      <c r="AC122" s="84">
        <f t="shared" si="3"/>
        <v>22606</v>
      </c>
      <c r="AD122" s="84">
        <f t="shared" si="4"/>
        <v>165338</v>
      </c>
      <c r="AF122" s="84">
        <f>VLOOKUP(A122,'OPEB Amounts_Report'!$A$10:$G$324,6,FALSE)</f>
        <v>126606</v>
      </c>
      <c r="AG122" s="85">
        <f t="shared" si="5"/>
        <v>-104000</v>
      </c>
    </row>
    <row r="123" spans="1:33">
      <c r="A123" s="166">
        <v>9150</v>
      </c>
      <c r="B123" s="167" t="s">
        <v>114</v>
      </c>
      <c r="C123" s="123">
        <f>VLOOKUP($A123,'Change in Proportion Calc'!$A$5:$P$319,12,FALSE)</f>
        <v>-3500</v>
      </c>
      <c r="D123" s="123">
        <f>VLOOKUP($A123,'Change in Proportion Calc'!$A$5:$P$319,13,FALSE)</f>
        <v>-3500</v>
      </c>
      <c r="E123" s="123">
        <f>VLOOKUP($A123,'Change in Proportion Calc'!$A$5:$P$319,13,FALSE)</f>
        <v>-3500</v>
      </c>
      <c r="F123" s="123">
        <f>VLOOKUP($A123,'Change in Proportion Calc'!$A$5:$P$319,13,FALSE)</f>
        <v>-3500</v>
      </c>
      <c r="G123" s="123">
        <f>VLOOKUP($A123,'Change in Proportion Calc'!$A$5:$P$319,16,FALSE)</f>
        <v>-3113</v>
      </c>
      <c r="H123" s="167"/>
      <c r="I123" s="123">
        <v>-17089</v>
      </c>
      <c r="J123" s="123">
        <v>-17089</v>
      </c>
      <c r="K123" s="123">
        <v>-17089</v>
      </c>
      <c r="L123" s="123">
        <v>-17089</v>
      </c>
      <c r="M123" s="123">
        <v>-16746</v>
      </c>
      <c r="N123" s="167"/>
      <c r="O123" s="84">
        <v>-98492</v>
      </c>
      <c r="P123" s="84">
        <v>-98492</v>
      </c>
      <c r="Q123" s="84">
        <v>-98492</v>
      </c>
      <c r="R123" s="85">
        <v>-96521</v>
      </c>
      <c r="S123" s="167"/>
      <c r="T123" s="84">
        <v>-62189</v>
      </c>
      <c r="U123" s="84">
        <v>-62189</v>
      </c>
      <c r="V123" s="85">
        <v>-39803</v>
      </c>
      <c r="X123" s="84">
        <v>-407699</v>
      </c>
      <c r="Y123" s="84">
        <v>-293544</v>
      </c>
      <c r="AA123" s="85">
        <f>VLOOKUP(A123,'Change in Proportion Calc'!$A$5:$H$319,8,FALSE)+I123+O123+T123+X123</f>
        <v>-588968</v>
      </c>
      <c r="AC123" s="84">
        <f t="shared" si="3"/>
        <v>0</v>
      </c>
      <c r="AD123" s="84">
        <f t="shared" si="4"/>
        <v>774167</v>
      </c>
      <c r="AF123" s="84">
        <f>VLOOKUP(A123,'OPEB Amounts_Report'!$A$10:$G$324,6,FALSE)</f>
        <v>66049</v>
      </c>
      <c r="AG123" s="85">
        <f t="shared" si="5"/>
        <v>-66049</v>
      </c>
    </row>
    <row r="124" spans="1:33">
      <c r="A124" s="164">
        <v>6017</v>
      </c>
      <c r="B124" s="168" t="s">
        <v>115</v>
      </c>
      <c r="C124" s="123">
        <f>VLOOKUP($A124,'Change in Proportion Calc'!$A$5:$P$319,12,FALSE)</f>
        <v>-136618</v>
      </c>
      <c r="D124" s="123">
        <f>VLOOKUP($A124,'Change in Proportion Calc'!$A$5:$P$319,13,FALSE)</f>
        <v>-136618</v>
      </c>
      <c r="E124" s="123">
        <f>VLOOKUP($A124,'Change in Proportion Calc'!$A$5:$P$319,13,FALSE)</f>
        <v>-136618</v>
      </c>
      <c r="F124" s="123">
        <f>VLOOKUP($A124,'Change in Proportion Calc'!$A$5:$P$319,13,FALSE)</f>
        <v>-136618</v>
      </c>
      <c r="G124" s="123">
        <f>VLOOKUP($A124,'Change in Proportion Calc'!$A$5:$P$319,16,FALSE)</f>
        <v>-121588</v>
      </c>
      <c r="H124" s="167"/>
      <c r="I124" s="123">
        <v>766241</v>
      </c>
      <c r="J124" s="123">
        <v>766241</v>
      </c>
      <c r="K124" s="123">
        <v>766241</v>
      </c>
      <c r="L124" s="123">
        <v>766241</v>
      </c>
      <c r="M124" s="123">
        <v>750918</v>
      </c>
      <c r="N124" s="167"/>
      <c r="O124" s="84">
        <v>379713</v>
      </c>
      <c r="P124" s="84">
        <v>379713</v>
      </c>
      <c r="Q124" s="84">
        <v>379713</v>
      </c>
      <c r="R124" s="85">
        <v>372119</v>
      </c>
      <c r="S124" s="167"/>
      <c r="T124" s="84">
        <v>319291</v>
      </c>
      <c r="U124" s="84">
        <v>319291</v>
      </c>
      <c r="V124" s="85">
        <v>204344</v>
      </c>
      <c r="X124" s="84">
        <v>-887563</v>
      </c>
      <c r="Y124" s="84">
        <v>-639044</v>
      </c>
      <c r="AA124" s="85">
        <f>VLOOKUP(A124,'Change in Proportion Calc'!$A$5:$H$319,8,FALSE)+I124+O124+T124+X124</f>
        <v>441065</v>
      </c>
      <c r="AC124" s="84">
        <f t="shared" si="3"/>
        <v>4704821</v>
      </c>
      <c r="AD124" s="84">
        <f t="shared" si="4"/>
        <v>1307104</v>
      </c>
      <c r="AF124" s="84">
        <f>VLOOKUP(A124,'OPEB Amounts_Report'!$A$10:$G$324,6,FALSE)</f>
        <v>6191949</v>
      </c>
      <c r="AG124" s="85">
        <f t="shared" si="5"/>
        <v>-1487128</v>
      </c>
    </row>
    <row r="125" spans="1:33">
      <c r="A125" s="166">
        <v>26080</v>
      </c>
      <c r="B125" s="167" t="s">
        <v>116</v>
      </c>
      <c r="C125" s="123">
        <f>VLOOKUP($A125,'Change in Proportion Calc'!$A$5:$P$319,12,FALSE)</f>
        <v>40719</v>
      </c>
      <c r="D125" s="123">
        <f>VLOOKUP($A125,'Change in Proportion Calc'!$A$5:$P$319,13,FALSE)</f>
        <v>40719</v>
      </c>
      <c r="E125" s="123">
        <f>VLOOKUP($A125,'Change in Proportion Calc'!$A$5:$P$319,13,FALSE)</f>
        <v>40719</v>
      </c>
      <c r="F125" s="123">
        <f>VLOOKUP($A125,'Change in Proportion Calc'!$A$5:$P$319,13,FALSE)</f>
        <v>40719</v>
      </c>
      <c r="G125" s="123">
        <f>VLOOKUP($A125,'Change in Proportion Calc'!$A$5:$P$319,16,FALSE)</f>
        <v>36240</v>
      </c>
      <c r="H125" s="167"/>
      <c r="I125" s="123">
        <v>19113</v>
      </c>
      <c r="J125" s="123">
        <v>19113</v>
      </c>
      <c r="K125" s="123">
        <v>19113</v>
      </c>
      <c r="L125" s="123">
        <v>19113</v>
      </c>
      <c r="M125" s="123">
        <v>18733</v>
      </c>
      <c r="N125" s="167"/>
      <c r="O125" s="84">
        <v>172</v>
      </c>
      <c r="P125" s="84">
        <v>172</v>
      </c>
      <c r="Q125" s="84">
        <v>172</v>
      </c>
      <c r="R125" s="85">
        <v>167</v>
      </c>
      <c r="S125" s="167"/>
      <c r="T125" s="84">
        <v>3008</v>
      </c>
      <c r="U125" s="84">
        <v>3008</v>
      </c>
      <c r="V125" s="85">
        <v>1923</v>
      </c>
      <c r="X125" s="84">
        <v>6030</v>
      </c>
      <c r="Y125" s="84">
        <v>4341</v>
      </c>
      <c r="AA125" s="85">
        <f>VLOOKUP(A125,'Change in Proportion Calc'!$A$5:$H$319,8,FALSE)+I125+O125+T125+X125</f>
        <v>69042</v>
      </c>
      <c r="AC125" s="84">
        <f t="shared" si="3"/>
        <v>284971</v>
      </c>
      <c r="AD125" s="84">
        <f t="shared" si="4"/>
        <v>0</v>
      </c>
      <c r="AF125" s="84">
        <f>VLOOKUP(A125,'OPEB Amounts_Report'!$A$10:$G$324,6,FALSE)</f>
        <v>198631</v>
      </c>
      <c r="AG125" s="85">
        <f t="shared" si="5"/>
        <v>86340</v>
      </c>
    </row>
    <row r="126" spans="1:33">
      <c r="A126" s="164">
        <v>2327</v>
      </c>
      <c r="B126" s="168" t="s">
        <v>117</v>
      </c>
      <c r="C126" s="123">
        <f>VLOOKUP($A126,'Change in Proportion Calc'!$A$5:$P$319,12,FALSE)</f>
        <v>-702</v>
      </c>
      <c r="D126" s="123">
        <f>VLOOKUP($A126,'Change in Proportion Calc'!$A$5:$P$319,13,FALSE)</f>
        <v>-702</v>
      </c>
      <c r="E126" s="123">
        <f>VLOOKUP($A126,'Change in Proportion Calc'!$A$5:$P$319,13,FALSE)</f>
        <v>-702</v>
      </c>
      <c r="F126" s="123">
        <f>VLOOKUP($A126,'Change in Proportion Calc'!$A$5:$P$319,13,FALSE)</f>
        <v>-702</v>
      </c>
      <c r="G126" s="123">
        <f>VLOOKUP($A126,'Change in Proportion Calc'!$A$5:$P$319,16,FALSE)</f>
        <v>-626</v>
      </c>
      <c r="H126" s="167"/>
      <c r="I126" s="123">
        <v>-34745</v>
      </c>
      <c r="J126" s="123">
        <v>-34745</v>
      </c>
      <c r="K126" s="123">
        <v>-34745</v>
      </c>
      <c r="L126" s="123">
        <v>-34745</v>
      </c>
      <c r="M126" s="123">
        <v>-34048</v>
      </c>
      <c r="N126" s="167"/>
      <c r="O126" s="84">
        <v>20265</v>
      </c>
      <c r="P126" s="84">
        <v>20265</v>
      </c>
      <c r="Q126" s="84">
        <v>20265</v>
      </c>
      <c r="R126" s="85">
        <v>19860</v>
      </c>
      <c r="S126" s="167"/>
      <c r="T126" s="84">
        <v>2328</v>
      </c>
      <c r="U126" s="84">
        <v>2328</v>
      </c>
      <c r="V126" s="85">
        <v>1492</v>
      </c>
      <c r="X126" s="84">
        <v>12740</v>
      </c>
      <c r="Y126" s="84">
        <v>9175</v>
      </c>
      <c r="AA126" s="85">
        <f>VLOOKUP(A126,'Change in Proportion Calc'!$A$5:$H$319,8,FALSE)+I126+O126+T126+X126</f>
        <v>-114</v>
      </c>
      <c r="AC126" s="84">
        <f t="shared" si="3"/>
        <v>73385</v>
      </c>
      <c r="AD126" s="84">
        <f t="shared" si="4"/>
        <v>141717</v>
      </c>
      <c r="AF126" s="84">
        <f>VLOOKUP(A126,'OPEB Amounts_Report'!$A$10:$G$324,6,FALSE)</f>
        <v>212862</v>
      </c>
      <c r="AG126" s="85">
        <f t="shared" si="5"/>
        <v>-139477</v>
      </c>
    </row>
    <row r="127" spans="1:33">
      <c r="A127" s="166">
        <v>10119</v>
      </c>
      <c r="B127" s="167" t="s">
        <v>118</v>
      </c>
      <c r="C127" s="123">
        <f>VLOOKUP($A127,'Change in Proportion Calc'!$A$5:$P$319,12,FALSE)</f>
        <v>-15250</v>
      </c>
      <c r="D127" s="123">
        <f>VLOOKUP($A127,'Change in Proportion Calc'!$A$5:$P$319,13,FALSE)</f>
        <v>-15250</v>
      </c>
      <c r="E127" s="123">
        <f>VLOOKUP($A127,'Change in Proportion Calc'!$A$5:$P$319,13,FALSE)</f>
        <v>-15250</v>
      </c>
      <c r="F127" s="123">
        <f>VLOOKUP($A127,'Change in Proportion Calc'!$A$5:$P$319,13,FALSE)</f>
        <v>-15250</v>
      </c>
      <c r="G127" s="123">
        <f>VLOOKUP($A127,'Change in Proportion Calc'!$A$5:$P$319,16,FALSE)</f>
        <v>-13572</v>
      </c>
      <c r="H127" s="167"/>
      <c r="I127" s="123">
        <v>4616</v>
      </c>
      <c r="J127" s="123">
        <v>4616</v>
      </c>
      <c r="K127" s="123">
        <v>4616</v>
      </c>
      <c r="L127" s="123">
        <v>4616</v>
      </c>
      <c r="M127" s="123">
        <v>4526</v>
      </c>
      <c r="N127" s="167"/>
      <c r="O127" s="84">
        <v>-16315</v>
      </c>
      <c r="P127" s="84">
        <v>-16315</v>
      </c>
      <c r="Q127" s="84">
        <v>-16315</v>
      </c>
      <c r="R127" s="85">
        <v>-15989</v>
      </c>
      <c r="S127" s="167"/>
      <c r="T127" s="84">
        <v>0</v>
      </c>
      <c r="U127" s="84">
        <v>0</v>
      </c>
      <c r="V127" s="85">
        <v>0</v>
      </c>
      <c r="X127" s="84">
        <v>-35888</v>
      </c>
      <c r="Y127" s="84">
        <v>-25837</v>
      </c>
      <c r="AA127" s="85">
        <f>VLOOKUP(A127,'Change in Proportion Calc'!$A$5:$H$319,8,FALSE)+I127+O127+T127+X127</f>
        <v>-62837</v>
      </c>
      <c r="AC127" s="84">
        <f t="shared" si="3"/>
        <v>18374</v>
      </c>
      <c r="AD127" s="84">
        <f t="shared" si="4"/>
        <v>149028</v>
      </c>
      <c r="AF127" s="84">
        <f>VLOOKUP(A127,'OPEB Amounts_Report'!$A$10:$G$324,6,FALSE)</f>
        <v>108291</v>
      </c>
      <c r="AG127" s="85">
        <f t="shared" si="5"/>
        <v>-89917</v>
      </c>
    </row>
    <row r="128" spans="1:33">
      <c r="A128" s="164">
        <v>573</v>
      </c>
      <c r="B128" s="168" t="s">
        <v>411</v>
      </c>
      <c r="C128" s="123">
        <f>VLOOKUP($A128,'Change in Proportion Calc'!$A$5:$P$319,12,FALSE)</f>
        <v>130011</v>
      </c>
      <c r="D128" s="123">
        <f>VLOOKUP($A128,'Change in Proportion Calc'!$A$5:$P$319,13,FALSE)</f>
        <v>130011</v>
      </c>
      <c r="E128" s="123">
        <f>VLOOKUP($A128,'Change in Proportion Calc'!$A$5:$P$319,13,FALSE)</f>
        <v>130011</v>
      </c>
      <c r="F128" s="123">
        <f>VLOOKUP($A128,'Change in Proportion Calc'!$A$5:$P$319,13,FALSE)</f>
        <v>130011</v>
      </c>
      <c r="G128" s="123">
        <f>VLOOKUP($A128,'Change in Proportion Calc'!$A$5:$P$319,16,FALSE)</f>
        <v>115709</v>
      </c>
      <c r="H128" s="167"/>
      <c r="I128" s="123">
        <v>77912</v>
      </c>
      <c r="J128" s="123">
        <v>77912</v>
      </c>
      <c r="K128" s="123">
        <v>77912</v>
      </c>
      <c r="L128" s="123">
        <v>77912</v>
      </c>
      <c r="M128" s="123">
        <v>76353</v>
      </c>
      <c r="N128" s="167"/>
      <c r="O128" s="84">
        <v>134814</v>
      </c>
      <c r="P128" s="84">
        <v>134814</v>
      </c>
      <c r="Q128" s="84">
        <v>134814</v>
      </c>
      <c r="R128" s="85">
        <v>132120</v>
      </c>
      <c r="S128" s="167"/>
      <c r="T128" s="84">
        <v>130491</v>
      </c>
      <c r="U128" s="84">
        <v>130491</v>
      </c>
      <c r="V128" s="85">
        <v>83514</v>
      </c>
      <c r="X128" s="84">
        <v>0</v>
      </c>
      <c r="Y128" s="84">
        <v>0</v>
      </c>
      <c r="AA128" s="85">
        <f>VLOOKUP(A128,'Change in Proportion Calc'!$A$5:$H$319,8,FALSE)+I128+O128+T128+X128</f>
        <v>473228</v>
      </c>
      <c r="AC128" s="84">
        <f t="shared" si="3"/>
        <v>1561595</v>
      </c>
      <c r="AD128" s="84">
        <f t="shared" si="4"/>
        <v>0</v>
      </c>
      <c r="AF128" s="84">
        <f>VLOOKUP(A128,'OPEB Amounts_Report'!$A$10:$G$324,6,FALSE)</f>
        <v>277226</v>
      </c>
      <c r="AG128" s="85">
        <f t="shared" si="5"/>
        <v>1284369</v>
      </c>
    </row>
    <row r="129" spans="1:33">
      <c r="A129" s="166">
        <v>2368</v>
      </c>
      <c r="B129" s="167" t="s">
        <v>119</v>
      </c>
      <c r="C129" s="123">
        <f>VLOOKUP($A129,'Change in Proportion Calc'!$A$5:$P$319,12,FALSE)</f>
        <v>-59613</v>
      </c>
      <c r="D129" s="123">
        <f>VLOOKUP($A129,'Change in Proportion Calc'!$A$5:$P$319,13,FALSE)</f>
        <v>-59613</v>
      </c>
      <c r="E129" s="123">
        <f>VLOOKUP($A129,'Change in Proportion Calc'!$A$5:$P$319,13,FALSE)</f>
        <v>-59613</v>
      </c>
      <c r="F129" s="123">
        <f>VLOOKUP($A129,'Change in Proportion Calc'!$A$5:$P$319,13,FALSE)</f>
        <v>-59613</v>
      </c>
      <c r="G129" s="123">
        <f>VLOOKUP($A129,'Change in Proportion Calc'!$A$5:$P$319,16,FALSE)</f>
        <v>-53057</v>
      </c>
      <c r="H129" s="167"/>
      <c r="I129" s="123">
        <v>100427</v>
      </c>
      <c r="J129" s="123">
        <v>100427</v>
      </c>
      <c r="K129" s="123">
        <v>100427</v>
      </c>
      <c r="L129" s="123">
        <v>100427</v>
      </c>
      <c r="M129" s="123">
        <v>98418</v>
      </c>
      <c r="N129" s="167"/>
      <c r="O129" s="84">
        <v>7470</v>
      </c>
      <c r="P129" s="84">
        <v>7470</v>
      </c>
      <c r="Q129" s="84">
        <v>7470</v>
      </c>
      <c r="R129" s="85">
        <v>7323</v>
      </c>
      <c r="S129" s="167"/>
      <c r="T129" s="84">
        <v>-48801</v>
      </c>
      <c r="U129" s="84">
        <v>-48801</v>
      </c>
      <c r="V129" s="85">
        <v>-31231</v>
      </c>
      <c r="X129" s="84">
        <v>55631</v>
      </c>
      <c r="Y129" s="84">
        <v>40053</v>
      </c>
      <c r="AA129" s="85">
        <f>VLOOKUP(A129,'Change in Proportion Calc'!$A$5:$H$319,8,FALSE)+I129+O129+T129+X129</f>
        <v>55114</v>
      </c>
      <c r="AC129" s="84">
        <f t="shared" si="3"/>
        <v>462015</v>
      </c>
      <c r="AD129" s="84">
        <f t="shared" si="4"/>
        <v>371541</v>
      </c>
      <c r="AF129" s="84">
        <f>VLOOKUP(A129,'OPEB Amounts_Report'!$A$10:$G$324,6,FALSE)</f>
        <v>207633</v>
      </c>
      <c r="AG129" s="85">
        <f t="shared" si="5"/>
        <v>254382</v>
      </c>
    </row>
    <row r="130" spans="1:33">
      <c r="A130" s="164">
        <v>7420</v>
      </c>
      <c r="B130" s="168" t="s">
        <v>120</v>
      </c>
      <c r="C130" s="123">
        <f>VLOOKUP($A130,'Change in Proportion Calc'!$A$5:$P$319,12,FALSE)</f>
        <v>14194</v>
      </c>
      <c r="D130" s="123">
        <f>VLOOKUP($A130,'Change in Proportion Calc'!$A$5:$P$319,13,FALSE)</f>
        <v>14194</v>
      </c>
      <c r="E130" s="123">
        <f>VLOOKUP($A130,'Change in Proportion Calc'!$A$5:$P$319,13,FALSE)</f>
        <v>14194</v>
      </c>
      <c r="F130" s="123">
        <f>VLOOKUP($A130,'Change in Proportion Calc'!$A$5:$P$319,13,FALSE)</f>
        <v>14194</v>
      </c>
      <c r="G130" s="123">
        <f>VLOOKUP($A130,'Change in Proportion Calc'!$A$5:$P$319,16,FALSE)</f>
        <v>12632</v>
      </c>
      <c r="H130" s="167"/>
      <c r="I130" s="123">
        <v>14578</v>
      </c>
      <c r="J130" s="123">
        <v>14578</v>
      </c>
      <c r="K130" s="123">
        <v>14578</v>
      </c>
      <c r="L130" s="123">
        <v>14578</v>
      </c>
      <c r="M130" s="123">
        <v>14287</v>
      </c>
      <c r="N130" s="167"/>
      <c r="O130" s="84">
        <v>-3177</v>
      </c>
      <c r="P130" s="84">
        <v>-3177</v>
      </c>
      <c r="Q130" s="84">
        <v>-3177</v>
      </c>
      <c r="R130" s="85">
        <v>-3114</v>
      </c>
      <c r="S130" s="167"/>
      <c r="T130" s="84">
        <v>10963</v>
      </c>
      <c r="U130" s="84">
        <v>10963</v>
      </c>
      <c r="V130" s="85">
        <v>7017</v>
      </c>
      <c r="X130" s="84">
        <v>42112</v>
      </c>
      <c r="Y130" s="84">
        <v>30321</v>
      </c>
      <c r="AA130" s="85">
        <f>VLOOKUP(A130,'Change in Proportion Calc'!$A$5:$H$319,8,FALSE)+I130+O130+T130+X130</f>
        <v>78670</v>
      </c>
      <c r="AC130" s="84">
        <f t="shared" si="3"/>
        <v>175730</v>
      </c>
      <c r="AD130" s="84">
        <f t="shared" si="4"/>
        <v>9468</v>
      </c>
      <c r="AF130" s="84">
        <f>VLOOKUP(A130,'OPEB Amounts_Report'!$A$10:$G$324,6,FALSE)</f>
        <v>126484</v>
      </c>
      <c r="AG130" s="85">
        <f t="shared" si="5"/>
        <v>49246</v>
      </c>
    </row>
    <row r="131" spans="1:33">
      <c r="A131" s="166">
        <v>6018</v>
      </c>
      <c r="B131" s="167" t="s">
        <v>121</v>
      </c>
      <c r="C131" s="123">
        <f>VLOOKUP($A131,'Change in Proportion Calc'!$A$5:$P$319,12,FALSE)</f>
        <v>-3362</v>
      </c>
      <c r="D131" s="123">
        <f>VLOOKUP($A131,'Change in Proportion Calc'!$A$5:$P$319,13,FALSE)</f>
        <v>-3362</v>
      </c>
      <c r="E131" s="123">
        <f>VLOOKUP($A131,'Change in Proportion Calc'!$A$5:$P$319,13,FALSE)</f>
        <v>-3362</v>
      </c>
      <c r="F131" s="123">
        <f>VLOOKUP($A131,'Change in Proportion Calc'!$A$5:$P$319,13,FALSE)</f>
        <v>-3362</v>
      </c>
      <c r="G131" s="123">
        <f>VLOOKUP($A131,'Change in Proportion Calc'!$A$5:$P$319,16,FALSE)</f>
        <v>-2992</v>
      </c>
      <c r="H131" s="167"/>
      <c r="I131" s="123">
        <v>26079</v>
      </c>
      <c r="J131" s="123">
        <v>26079</v>
      </c>
      <c r="K131" s="123">
        <v>26079</v>
      </c>
      <c r="L131" s="123">
        <v>26079</v>
      </c>
      <c r="M131" s="123">
        <v>25555</v>
      </c>
      <c r="N131" s="167"/>
      <c r="O131" s="84">
        <v>8415</v>
      </c>
      <c r="P131" s="84">
        <v>8415</v>
      </c>
      <c r="Q131" s="84">
        <v>8415</v>
      </c>
      <c r="R131" s="85">
        <v>8248</v>
      </c>
      <c r="S131" s="167"/>
      <c r="T131" s="84">
        <v>-2911</v>
      </c>
      <c r="U131" s="84">
        <v>-2911</v>
      </c>
      <c r="V131" s="85">
        <v>-1861</v>
      </c>
      <c r="X131" s="84">
        <v>24314</v>
      </c>
      <c r="Y131" s="84">
        <v>17507</v>
      </c>
      <c r="AA131" s="85">
        <f>VLOOKUP(A131,'Change in Proportion Calc'!$A$5:$H$319,8,FALSE)+I131+O131+T131+X131</f>
        <v>52535</v>
      </c>
      <c r="AC131" s="84">
        <f t="shared" si="3"/>
        <v>146377</v>
      </c>
      <c r="AD131" s="84">
        <f t="shared" si="4"/>
        <v>21212</v>
      </c>
      <c r="AF131" s="84">
        <f>VLOOKUP(A131,'OPEB Amounts_Report'!$A$10:$G$324,6,FALSE)</f>
        <v>354636</v>
      </c>
      <c r="AG131" s="85">
        <f t="shared" si="5"/>
        <v>-208259</v>
      </c>
    </row>
    <row r="132" spans="1:33">
      <c r="A132" s="164">
        <v>3321</v>
      </c>
      <c r="B132" s="168" t="s">
        <v>122</v>
      </c>
      <c r="C132" s="123">
        <f>VLOOKUP($A132,'Change in Proportion Calc'!$A$5:$P$319,12,FALSE)</f>
        <v>45429</v>
      </c>
      <c r="D132" s="123">
        <f>VLOOKUP($A132,'Change in Proportion Calc'!$A$5:$P$319,13,FALSE)</f>
        <v>45429</v>
      </c>
      <c r="E132" s="123">
        <f>VLOOKUP($A132,'Change in Proportion Calc'!$A$5:$P$319,13,FALSE)</f>
        <v>45429</v>
      </c>
      <c r="F132" s="123">
        <f>VLOOKUP($A132,'Change in Proportion Calc'!$A$5:$P$319,13,FALSE)</f>
        <v>45429</v>
      </c>
      <c r="G132" s="123">
        <f>VLOOKUP($A132,'Change in Proportion Calc'!$A$5:$P$319,16,FALSE)</f>
        <v>40432</v>
      </c>
      <c r="H132" s="167"/>
      <c r="I132" s="123">
        <v>9719</v>
      </c>
      <c r="J132" s="123">
        <v>9719</v>
      </c>
      <c r="K132" s="123">
        <v>9719</v>
      </c>
      <c r="L132" s="123">
        <v>9719</v>
      </c>
      <c r="M132" s="123">
        <v>9523</v>
      </c>
      <c r="N132" s="167"/>
      <c r="O132" s="84">
        <v>12451</v>
      </c>
      <c r="P132" s="84">
        <v>12451</v>
      </c>
      <c r="Q132" s="84">
        <v>12451</v>
      </c>
      <c r="R132" s="85">
        <v>12202</v>
      </c>
      <c r="S132" s="167"/>
      <c r="T132" s="84">
        <v>18725</v>
      </c>
      <c r="U132" s="84">
        <v>18725</v>
      </c>
      <c r="V132" s="85">
        <v>11982</v>
      </c>
      <c r="X132" s="84">
        <v>-30636</v>
      </c>
      <c r="Y132" s="84">
        <v>-22057</v>
      </c>
      <c r="AA132" s="85">
        <f>VLOOKUP(A132,'Change in Proportion Calc'!$A$5:$H$319,8,FALSE)+I132+O132+T132+X132</f>
        <v>55688</v>
      </c>
      <c r="AC132" s="84">
        <f t="shared" si="3"/>
        <v>328639</v>
      </c>
      <c r="AD132" s="84">
        <f t="shared" si="4"/>
        <v>22057</v>
      </c>
      <c r="AF132" s="84">
        <f>VLOOKUP(A132,'OPEB Amounts_Report'!$A$10:$G$324,6,FALSE)</f>
        <v>179452</v>
      </c>
      <c r="AG132" s="85">
        <f t="shared" si="5"/>
        <v>149187</v>
      </c>
    </row>
    <row r="133" spans="1:33">
      <c r="A133" s="166">
        <v>29122</v>
      </c>
      <c r="B133" s="167" t="s">
        <v>123</v>
      </c>
      <c r="C133" s="123">
        <f>VLOOKUP($A133,'Change in Proportion Calc'!$A$5:$P$319,12,FALSE)</f>
        <v>-9629</v>
      </c>
      <c r="D133" s="123">
        <f>VLOOKUP($A133,'Change in Proportion Calc'!$A$5:$P$319,13,FALSE)</f>
        <v>-9629</v>
      </c>
      <c r="E133" s="123">
        <f>VLOOKUP($A133,'Change in Proportion Calc'!$A$5:$P$319,13,FALSE)</f>
        <v>-9629</v>
      </c>
      <c r="F133" s="123">
        <f>VLOOKUP($A133,'Change in Proportion Calc'!$A$5:$P$319,13,FALSE)</f>
        <v>-9629</v>
      </c>
      <c r="G133" s="123">
        <f>VLOOKUP($A133,'Change in Proportion Calc'!$A$5:$P$319,16,FALSE)</f>
        <v>-8572</v>
      </c>
      <c r="H133" s="167"/>
      <c r="I133" s="123">
        <v>-45597</v>
      </c>
      <c r="J133" s="123">
        <v>-45597</v>
      </c>
      <c r="K133" s="123">
        <v>-45597</v>
      </c>
      <c r="L133" s="123">
        <v>-45597</v>
      </c>
      <c r="M133" s="123">
        <v>-44685</v>
      </c>
      <c r="N133" s="167"/>
      <c r="O133" s="84">
        <v>49117</v>
      </c>
      <c r="P133" s="84">
        <v>49117</v>
      </c>
      <c r="Q133" s="84">
        <v>49117</v>
      </c>
      <c r="R133" s="85">
        <v>48135</v>
      </c>
      <c r="S133" s="167"/>
      <c r="T133" s="84">
        <v>-37741</v>
      </c>
      <c r="U133" s="84">
        <v>-37741</v>
      </c>
      <c r="V133" s="85">
        <v>-24152</v>
      </c>
      <c r="X133" s="84">
        <v>-54756</v>
      </c>
      <c r="Y133" s="84">
        <v>-39422</v>
      </c>
      <c r="AA133" s="85">
        <f>VLOOKUP(A133,'Change in Proportion Calc'!$A$5:$H$319,8,FALSE)+I133+O133+T133+X133</f>
        <v>-98606</v>
      </c>
      <c r="AC133" s="84">
        <f t="shared" si="3"/>
        <v>146369</v>
      </c>
      <c r="AD133" s="84">
        <f t="shared" si="4"/>
        <v>329879</v>
      </c>
      <c r="AF133" s="84">
        <f>VLOOKUP(A133,'OPEB Amounts_Report'!$A$10:$G$324,6,FALSE)</f>
        <v>192999</v>
      </c>
      <c r="AG133" s="85">
        <f t="shared" si="5"/>
        <v>-46630</v>
      </c>
    </row>
    <row r="134" spans="1:33">
      <c r="A134" s="164">
        <v>29088</v>
      </c>
      <c r="B134" s="168" t="s">
        <v>124</v>
      </c>
      <c r="C134" s="123">
        <f>VLOOKUP($A134,'Change in Proportion Calc'!$A$5:$P$319,12,FALSE)</f>
        <v>6709</v>
      </c>
      <c r="D134" s="123">
        <f>VLOOKUP($A134,'Change in Proportion Calc'!$A$5:$P$319,13,FALSE)</f>
        <v>6709</v>
      </c>
      <c r="E134" s="123">
        <f>VLOOKUP($A134,'Change in Proportion Calc'!$A$5:$P$319,13,FALSE)</f>
        <v>6709</v>
      </c>
      <c r="F134" s="123">
        <f>VLOOKUP($A134,'Change in Proportion Calc'!$A$5:$P$319,13,FALSE)</f>
        <v>6709</v>
      </c>
      <c r="G134" s="123">
        <f>VLOOKUP($A134,'Change in Proportion Calc'!$A$5:$P$319,16,FALSE)</f>
        <v>5973</v>
      </c>
      <c r="H134" s="167"/>
      <c r="I134" s="123">
        <v>-1620</v>
      </c>
      <c r="J134" s="123">
        <v>-1620</v>
      </c>
      <c r="K134" s="123">
        <v>-1620</v>
      </c>
      <c r="L134" s="123">
        <v>-1620</v>
      </c>
      <c r="M134" s="123">
        <v>-1586</v>
      </c>
      <c r="N134" s="167"/>
      <c r="O134" s="84">
        <v>-50405</v>
      </c>
      <c r="P134" s="84">
        <v>-50405</v>
      </c>
      <c r="Q134" s="84">
        <v>-50405</v>
      </c>
      <c r="R134" s="85">
        <v>-49398</v>
      </c>
      <c r="S134" s="167"/>
      <c r="T134" s="84">
        <v>679</v>
      </c>
      <c r="U134" s="84">
        <v>679</v>
      </c>
      <c r="V134" s="85">
        <v>435</v>
      </c>
      <c r="X134" s="84">
        <v>7975</v>
      </c>
      <c r="Y134" s="84">
        <v>5742</v>
      </c>
      <c r="AA134" s="85">
        <f>VLOOKUP(A134,'Change in Proportion Calc'!$A$5:$H$319,8,FALSE)+I134+O134+T134+X134</f>
        <v>-36662</v>
      </c>
      <c r="AC134" s="84">
        <f t="shared" si="3"/>
        <v>39665</v>
      </c>
      <c r="AD134" s="84">
        <f t="shared" si="4"/>
        <v>156654</v>
      </c>
      <c r="AF134" s="84">
        <f>VLOOKUP(A134,'OPEB Amounts_Report'!$A$10:$G$324,6,FALSE)</f>
        <v>270443</v>
      </c>
      <c r="AG134" s="85">
        <f t="shared" si="5"/>
        <v>-230778</v>
      </c>
    </row>
    <row r="135" spans="1:33">
      <c r="A135" s="166">
        <v>7337</v>
      </c>
      <c r="B135" s="167" t="s">
        <v>125</v>
      </c>
      <c r="C135" s="123">
        <f>VLOOKUP($A135,'Change in Proportion Calc'!$A$5:$P$319,12,FALSE)</f>
        <v>7991</v>
      </c>
      <c r="D135" s="123">
        <f>VLOOKUP($A135,'Change in Proportion Calc'!$A$5:$P$319,13,FALSE)</f>
        <v>7991</v>
      </c>
      <c r="E135" s="123">
        <f>VLOOKUP($A135,'Change in Proportion Calc'!$A$5:$P$319,13,FALSE)</f>
        <v>7991</v>
      </c>
      <c r="F135" s="123">
        <f>VLOOKUP($A135,'Change in Proportion Calc'!$A$5:$P$319,13,FALSE)</f>
        <v>7991</v>
      </c>
      <c r="G135" s="123">
        <f>VLOOKUP($A135,'Change in Proportion Calc'!$A$5:$P$319,16,FALSE)</f>
        <v>7113</v>
      </c>
      <c r="H135" s="167"/>
      <c r="I135" s="123">
        <v>-18951</v>
      </c>
      <c r="J135" s="123">
        <v>-18951</v>
      </c>
      <c r="K135" s="123">
        <v>-18951</v>
      </c>
      <c r="L135" s="123">
        <v>-18951</v>
      </c>
      <c r="M135" s="123">
        <v>-18574</v>
      </c>
      <c r="N135" s="167"/>
      <c r="O135" s="84">
        <v>-21897</v>
      </c>
      <c r="P135" s="84">
        <v>-21897</v>
      </c>
      <c r="Q135" s="84">
        <v>-21897</v>
      </c>
      <c r="R135" s="85">
        <v>-21457</v>
      </c>
      <c r="S135" s="167"/>
      <c r="T135" s="84">
        <v>-23284</v>
      </c>
      <c r="U135" s="84">
        <v>-23284</v>
      </c>
      <c r="V135" s="85">
        <v>-14904</v>
      </c>
      <c r="X135" s="84">
        <v>-6808</v>
      </c>
      <c r="Y135" s="84">
        <v>-4901</v>
      </c>
      <c r="AA135" s="85">
        <f>VLOOKUP(A135,'Change in Proportion Calc'!$A$5:$H$319,8,FALSE)+I135+O135+T135+X135</f>
        <v>-62949</v>
      </c>
      <c r="AC135" s="84">
        <f t="shared" si="3"/>
        <v>39077</v>
      </c>
      <c r="AD135" s="84">
        <f t="shared" si="4"/>
        <v>183767</v>
      </c>
      <c r="AF135" s="84">
        <f>VLOOKUP(A135,'OPEB Amounts_Report'!$A$10:$G$324,6,FALSE)</f>
        <v>73846</v>
      </c>
      <c r="AG135" s="85">
        <f t="shared" si="5"/>
        <v>-34769</v>
      </c>
    </row>
    <row r="136" spans="1:33">
      <c r="A136" s="164">
        <v>2329</v>
      </c>
      <c r="B136" s="168" t="s">
        <v>126</v>
      </c>
      <c r="C136" s="123">
        <f>VLOOKUP($A136,'Change in Proportion Calc'!$A$5:$P$319,12,FALSE)</f>
        <v>18685</v>
      </c>
      <c r="D136" s="123">
        <f>VLOOKUP($A136,'Change in Proportion Calc'!$A$5:$P$319,13,FALSE)</f>
        <v>18685</v>
      </c>
      <c r="E136" s="123">
        <f>VLOOKUP($A136,'Change in Proportion Calc'!$A$5:$P$319,13,FALSE)</f>
        <v>18685</v>
      </c>
      <c r="F136" s="123">
        <f>VLOOKUP($A136,'Change in Proportion Calc'!$A$5:$P$319,13,FALSE)</f>
        <v>18685</v>
      </c>
      <c r="G136" s="123">
        <f>VLOOKUP($A136,'Change in Proportion Calc'!$A$5:$P$319,16,FALSE)</f>
        <v>16629</v>
      </c>
      <c r="H136" s="167"/>
      <c r="I136" s="123">
        <v>11987</v>
      </c>
      <c r="J136" s="123">
        <v>11987</v>
      </c>
      <c r="K136" s="123">
        <v>11987</v>
      </c>
      <c r="L136" s="123">
        <v>11987</v>
      </c>
      <c r="M136" s="123">
        <v>11745</v>
      </c>
      <c r="N136" s="167"/>
      <c r="O136" s="84">
        <v>-130521</v>
      </c>
      <c r="P136" s="84">
        <v>-130521</v>
      </c>
      <c r="Q136" s="84">
        <v>-130521</v>
      </c>
      <c r="R136" s="85">
        <v>-127911</v>
      </c>
      <c r="S136" s="167"/>
      <c r="T136" s="84">
        <v>-1164</v>
      </c>
      <c r="U136" s="84">
        <v>-1164</v>
      </c>
      <c r="V136" s="85">
        <v>-746</v>
      </c>
      <c r="X136" s="84">
        <v>20910</v>
      </c>
      <c r="Y136" s="84">
        <v>15056</v>
      </c>
      <c r="AA136" s="85">
        <f>VLOOKUP(A136,'Change in Proportion Calc'!$A$5:$H$319,8,FALSE)+I136+O136+T136+X136</f>
        <v>-80103</v>
      </c>
      <c r="AC136" s="84">
        <f t="shared" si="3"/>
        <v>154131</v>
      </c>
      <c r="AD136" s="84">
        <f t="shared" si="4"/>
        <v>390863</v>
      </c>
      <c r="AF136" s="84">
        <f>VLOOKUP(A136,'OPEB Amounts_Report'!$A$10:$G$324,6,FALSE)</f>
        <v>230322</v>
      </c>
      <c r="AG136" s="85">
        <f t="shared" si="5"/>
        <v>-76191</v>
      </c>
    </row>
    <row r="137" spans="1:33">
      <c r="A137" s="166">
        <v>2343</v>
      </c>
      <c r="B137" s="167" t="s">
        <v>127</v>
      </c>
      <c r="C137" s="123">
        <f>VLOOKUP($A137,'Change in Proportion Calc'!$A$5:$P$319,12,FALSE)</f>
        <v>-23325</v>
      </c>
      <c r="D137" s="123">
        <f>VLOOKUP($A137,'Change in Proportion Calc'!$A$5:$P$319,13,FALSE)</f>
        <v>-23325</v>
      </c>
      <c r="E137" s="123">
        <f>VLOOKUP($A137,'Change in Proportion Calc'!$A$5:$P$319,13,FALSE)</f>
        <v>-23325</v>
      </c>
      <c r="F137" s="123">
        <f>VLOOKUP($A137,'Change in Proportion Calc'!$A$5:$P$319,13,FALSE)</f>
        <v>-23325</v>
      </c>
      <c r="G137" s="123">
        <f>VLOOKUP($A137,'Change in Proportion Calc'!$A$5:$P$319,16,FALSE)</f>
        <v>-20757</v>
      </c>
      <c r="H137" s="167"/>
      <c r="I137" s="123">
        <v>23487</v>
      </c>
      <c r="J137" s="123">
        <v>23487</v>
      </c>
      <c r="K137" s="123">
        <v>23487</v>
      </c>
      <c r="L137" s="123">
        <v>23487</v>
      </c>
      <c r="M137" s="123">
        <v>23017</v>
      </c>
      <c r="N137" s="167"/>
      <c r="O137" s="84">
        <v>-22240</v>
      </c>
      <c r="P137" s="84">
        <v>-22240</v>
      </c>
      <c r="Q137" s="84">
        <v>-22240</v>
      </c>
      <c r="R137" s="85">
        <v>-21796</v>
      </c>
      <c r="S137" s="167"/>
      <c r="T137" s="84">
        <v>40069</v>
      </c>
      <c r="U137" s="84">
        <v>40069</v>
      </c>
      <c r="V137" s="85">
        <v>25644</v>
      </c>
      <c r="X137" s="84">
        <v>-65940</v>
      </c>
      <c r="Y137" s="84">
        <v>-47476</v>
      </c>
      <c r="AA137" s="85">
        <f>VLOOKUP(A137,'Change in Proportion Calc'!$A$5:$H$319,8,FALSE)+I137+O137+T137+X137</f>
        <v>-47949</v>
      </c>
      <c r="AC137" s="84">
        <f t="shared" ref="AC137:AC200" si="6">IF(SUM(C137:G137)&gt;0,SUM(C137:G137),0)+IF(SUM(J137:M137)&gt;0,SUM(J137:M137),0)+IF(SUM(P137:R137)&gt;0,SUM(P137:R137),0)+IF(SUM(U137:V137)&gt;0,SUM(U137:V137),0)+IF(SUM(Y137)&gt;0,SUM(Y137),0)</f>
        <v>159191</v>
      </c>
      <c r="AD137" s="84">
        <f t="shared" ref="AD137:AD200" si="7">IF(SUM(C137:G137)&lt;0,-SUM(C137:G137),0)+IF(SUM(J137:M137)&lt;0,-SUM(J137:M137),0)+IF(SUM(P137:R137)&lt;0,-SUM(P137:R137),0)+IF(SUM(U137:V137)&lt;0,-SUM(U137:V137),0)+IF(SUM(Y137)&lt;0,-SUM(Y137),0)</f>
        <v>227809</v>
      </c>
      <c r="AF137" s="84">
        <f>VLOOKUP(A137,'OPEB Amounts_Report'!$A$10:$G$324,6,FALSE)</f>
        <v>214965</v>
      </c>
      <c r="AG137" s="85">
        <f t="shared" si="5"/>
        <v>-55774</v>
      </c>
    </row>
    <row r="138" spans="1:33">
      <c r="A138" s="164">
        <v>17425</v>
      </c>
      <c r="B138" s="168" t="s">
        <v>128</v>
      </c>
      <c r="C138" s="123">
        <f>VLOOKUP($A138,'Change in Proportion Calc'!$A$5:$P$319,12,FALSE)</f>
        <v>24015</v>
      </c>
      <c r="D138" s="123">
        <f>VLOOKUP($A138,'Change in Proportion Calc'!$A$5:$P$319,13,FALSE)</f>
        <v>24015</v>
      </c>
      <c r="E138" s="123">
        <f>VLOOKUP($A138,'Change in Proportion Calc'!$A$5:$P$319,13,FALSE)</f>
        <v>24015</v>
      </c>
      <c r="F138" s="123">
        <f>VLOOKUP($A138,'Change in Proportion Calc'!$A$5:$P$319,13,FALSE)</f>
        <v>24015</v>
      </c>
      <c r="G138" s="123">
        <f>VLOOKUP($A138,'Change in Proportion Calc'!$A$5:$P$319,16,FALSE)</f>
        <v>21371</v>
      </c>
      <c r="H138" s="167"/>
      <c r="I138" s="123">
        <v>-29804</v>
      </c>
      <c r="J138" s="123">
        <v>-29804</v>
      </c>
      <c r="K138" s="123">
        <v>-29804</v>
      </c>
      <c r="L138" s="123">
        <v>-29804</v>
      </c>
      <c r="M138" s="123">
        <v>-29209</v>
      </c>
      <c r="N138" s="167"/>
      <c r="O138" s="84">
        <v>-8673</v>
      </c>
      <c r="P138" s="84">
        <v>-8673</v>
      </c>
      <c r="Q138" s="84">
        <v>-8673</v>
      </c>
      <c r="R138" s="85">
        <v>-8498</v>
      </c>
      <c r="S138" s="167"/>
      <c r="T138" s="84">
        <v>-18919</v>
      </c>
      <c r="U138" s="84">
        <v>-18919</v>
      </c>
      <c r="V138" s="85">
        <v>-12107</v>
      </c>
      <c r="X138" s="84">
        <v>-6030</v>
      </c>
      <c r="Y138" s="84">
        <v>-4341</v>
      </c>
      <c r="AA138" s="85">
        <f>VLOOKUP(A138,'Change in Proportion Calc'!$A$5:$H$319,8,FALSE)+I138+O138+T138+X138</f>
        <v>-39412</v>
      </c>
      <c r="AC138" s="84">
        <f t="shared" si="6"/>
        <v>117431</v>
      </c>
      <c r="AD138" s="84">
        <f t="shared" si="7"/>
        <v>179832</v>
      </c>
      <c r="AF138" s="84">
        <f>VLOOKUP(A138,'OPEB Amounts_Report'!$A$10:$G$324,6,FALSE)</f>
        <v>44049</v>
      </c>
      <c r="AG138" s="85">
        <f t="shared" ref="AG138:AG201" si="8">+AC138-AF138</f>
        <v>73382</v>
      </c>
    </row>
    <row r="139" spans="1:33">
      <c r="A139" s="166">
        <v>4010</v>
      </c>
      <c r="B139" s="167" t="s">
        <v>129</v>
      </c>
      <c r="C139" s="123">
        <f>VLOOKUP($A139,'Change in Proportion Calc'!$A$5:$P$319,12,FALSE)</f>
        <v>19221</v>
      </c>
      <c r="D139" s="123">
        <f>VLOOKUP($A139,'Change in Proportion Calc'!$A$5:$P$319,13,FALSE)</f>
        <v>19221</v>
      </c>
      <c r="E139" s="123">
        <f>VLOOKUP($A139,'Change in Proportion Calc'!$A$5:$P$319,13,FALSE)</f>
        <v>19221</v>
      </c>
      <c r="F139" s="123">
        <f>VLOOKUP($A139,'Change in Proportion Calc'!$A$5:$P$319,13,FALSE)</f>
        <v>19221</v>
      </c>
      <c r="G139" s="123">
        <f>VLOOKUP($A139,'Change in Proportion Calc'!$A$5:$P$319,16,FALSE)</f>
        <v>17109</v>
      </c>
      <c r="H139" s="167"/>
      <c r="I139" s="123">
        <v>5183</v>
      </c>
      <c r="J139" s="123">
        <v>5183</v>
      </c>
      <c r="K139" s="123">
        <v>5183</v>
      </c>
      <c r="L139" s="123">
        <v>5183</v>
      </c>
      <c r="M139" s="123">
        <v>5081</v>
      </c>
      <c r="N139" s="167"/>
      <c r="O139" s="84">
        <v>10304</v>
      </c>
      <c r="P139" s="84">
        <v>10304</v>
      </c>
      <c r="Q139" s="84">
        <v>10304</v>
      </c>
      <c r="R139" s="85">
        <v>10100</v>
      </c>
      <c r="S139" s="167"/>
      <c r="T139" s="84">
        <v>10866</v>
      </c>
      <c r="U139" s="84">
        <v>10866</v>
      </c>
      <c r="V139" s="85">
        <v>6955</v>
      </c>
      <c r="X139" s="84">
        <v>-5738</v>
      </c>
      <c r="Y139" s="84">
        <v>-4132</v>
      </c>
      <c r="AA139" s="85">
        <f>VLOOKUP(A139,'Change in Proportion Calc'!$A$5:$H$319,8,FALSE)+I139+O139+T139+X139</f>
        <v>39837</v>
      </c>
      <c r="AC139" s="84">
        <f t="shared" si="6"/>
        <v>163152</v>
      </c>
      <c r="AD139" s="84">
        <f t="shared" si="7"/>
        <v>4132</v>
      </c>
      <c r="AF139" s="84">
        <f>VLOOKUP(A139,'OPEB Amounts_Report'!$A$10:$G$324,6,FALSE)</f>
        <v>136370</v>
      </c>
      <c r="AG139" s="85">
        <f t="shared" si="8"/>
        <v>26782</v>
      </c>
    </row>
    <row r="140" spans="1:33">
      <c r="A140" s="164">
        <v>7023</v>
      </c>
      <c r="B140" s="168" t="s">
        <v>130</v>
      </c>
      <c r="C140" s="123">
        <f>VLOOKUP($A140,'Change in Proportion Calc'!$A$5:$P$319,12,FALSE)</f>
        <v>647445</v>
      </c>
      <c r="D140" s="123">
        <f>VLOOKUP($A140,'Change in Proportion Calc'!$A$5:$P$319,13,FALSE)</f>
        <v>647445</v>
      </c>
      <c r="E140" s="123">
        <f>VLOOKUP($A140,'Change in Proportion Calc'!$A$5:$P$319,13,FALSE)</f>
        <v>647445</v>
      </c>
      <c r="F140" s="123">
        <f>VLOOKUP($A140,'Change in Proportion Calc'!$A$5:$P$319,13,FALSE)</f>
        <v>647445</v>
      </c>
      <c r="G140" s="123">
        <f>VLOOKUP($A140,'Change in Proportion Calc'!$A$5:$P$319,16,FALSE)</f>
        <v>576228</v>
      </c>
      <c r="H140" s="167"/>
      <c r="I140" s="123">
        <v>420173</v>
      </c>
      <c r="J140" s="123">
        <v>420173</v>
      </c>
      <c r="K140" s="123">
        <v>420173</v>
      </c>
      <c r="L140" s="123">
        <v>420173</v>
      </c>
      <c r="M140" s="123">
        <v>411771</v>
      </c>
      <c r="N140" s="167"/>
      <c r="O140" s="84">
        <v>169248</v>
      </c>
      <c r="P140" s="84">
        <v>169248</v>
      </c>
      <c r="Q140" s="84">
        <v>169248</v>
      </c>
      <c r="R140" s="85">
        <v>165863</v>
      </c>
      <c r="S140" s="167"/>
      <c r="T140" s="84">
        <v>298141</v>
      </c>
      <c r="U140" s="84">
        <v>298141</v>
      </c>
      <c r="V140" s="85">
        <v>190808</v>
      </c>
      <c r="X140" s="84">
        <v>278251</v>
      </c>
      <c r="Y140" s="84">
        <v>200340</v>
      </c>
      <c r="AA140" s="85">
        <f>VLOOKUP(A140,'Change in Proportion Calc'!$A$5:$H$319,8,FALSE)+I140+O140+T140+X140</f>
        <v>1813259</v>
      </c>
      <c r="AC140" s="84">
        <f t="shared" si="6"/>
        <v>6031946</v>
      </c>
      <c r="AD140" s="84">
        <f t="shared" si="7"/>
        <v>0</v>
      </c>
      <c r="AF140" s="84">
        <f>VLOOKUP(A140,'OPEB Amounts_Report'!$A$10:$G$324,6,FALSE)</f>
        <v>16042451</v>
      </c>
      <c r="AG140" s="85">
        <f t="shared" si="8"/>
        <v>-10010505</v>
      </c>
    </row>
    <row r="141" spans="1:33">
      <c r="A141" s="166">
        <v>7338</v>
      </c>
      <c r="B141" s="167" t="s">
        <v>131</v>
      </c>
      <c r="C141" s="123">
        <f>VLOOKUP($A141,'Change in Proportion Calc'!$A$5:$P$319,12,FALSE)</f>
        <v>-2678</v>
      </c>
      <c r="D141" s="123">
        <f>VLOOKUP($A141,'Change in Proportion Calc'!$A$5:$P$319,13,FALSE)</f>
        <v>-2678</v>
      </c>
      <c r="E141" s="123">
        <f>VLOOKUP($A141,'Change in Proportion Calc'!$A$5:$P$319,13,FALSE)</f>
        <v>-2678</v>
      </c>
      <c r="F141" s="123">
        <f>VLOOKUP($A141,'Change in Proportion Calc'!$A$5:$P$319,13,FALSE)</f>
        <v>-2678</v>
      </c>
      <c r="G141" s="123">
        <f>VLOOKUP($A141,'Change in Proportion Calc'!$A$5:$P$319,16,FALSE)</f>
        <v>-2381</v>
      </c>
      <c r="H141" s="167"/>
      <c r="I141" s="123">
        <v>9314</v>
      </c>
      <c r="J141" s="123">
        <v>9314</v>
      </c>
      <c r="K141" s="123">
        <v>9314</v>
      </c>
      <c r="L141" s="123">
        <v>9314</v>
      </c>
      <c r="M141" s="123">
        <v>9126</v>
      </c>
      <c r="N141" s="167"/>
      <c r="O141" s="84">
        <v>257</v>
      </c>
      <c r="P141" s="84">
        <v>257</v>
      </c>
      <c r="Q141" s="84">
        <v>257</v>
      </c>
      <c r="R141" s="85">
        <v>254</v>
      </c>
      <c r="S141" s="167"/>
      <c r="T141" s="84">
        <v>33083</v>
      </c>
      <c r="U141" s="84">
        <v>33083</v>
      </c>
      <c r="V141" s="85">
        <v>21175</v>
      </c>
      <c r="X141" s="84">
        <v>32775</v>
      </c>
      <c r="Y141" s="84">
        <v>23600</v>
      </c>
      <c r="AA141" s="85">
        <f>VLOOKUP(A141,'Change in Proportion Calc'!$A$5:$H$319,8,FALSE)+I141+O141+T141+X141</f>
        <v>72752</v>
      </c>
      <c r="AC141" s="84">
        <f t="shared" si="6"/>
        <v>115694</v>
      </c>
      <c r="AD141" s="84">
        <f t="shared" si="7"/>
        <v>13093</v>
      </c>
      <c r="AF141" s="84">
        <f>VLOOKUP(A141,'OPEB Amounts_Report'!$A$10:$G$324,6,FALSE)</f>
        <v>141269</v>
      </c>
      <c r="AG141" s="85">
        <f t="shared" si="8"/>
        <v>-25575</v>
      </c>
    </row>
    <row r="142" spans="1:33">
      <c r="A142" s="164">
        <v>12037</v>
      </c>
      <c r="B142" s="168" t="s">
        <v>132</v>
      </c>
      <c r="C142" s="123">
        <f>VLOOKUP($A142,'Change in Proportion Calc'!$A$5:$P$319,12,FALSE)</f>
        <v>-39954</v>
      </c>
      <c r="D142" s="123">
        <f>VLOOKUP($A142,'Change in Proportion Calc'!$A$5:$P$319,13,FALSE)</f>
        <v>-39954</v>
      </c>
      <c r="E142" s="123">
        <f>VLOOKUP($A142,'Change in Proportion Calc'!$A$5:$P$319,13,FALSE)</f>
        <v>-39954</v>
      </c>
      <c r="F142" s="123">
        <f>VLOOKUP($A142,'Change in Proportion Calc'!$A$5:$P$319,13,FALSE)</f>
        <v>-39954</v>
      </c>
      <c r="G142" s="123">
        <f>VLOOKUP($A142,'Change in Proportion Calc'!$A$5:$P$319,16,FALSE)</f>
        <v>-35560</v>
      </c>
      <c r="H142" s="167"/>
      <c r="I142" s="123">
        <v>-14092</v>
      </c>
      <c r="J142" s="123">
        <v>-14092</v>
      </c>
      <c r="K142" s="123">
        <v>-14092</v>
      </c>
      <c r="L142" s="123">
        <v>-14092</v>
      </c>
      <c r="M142" s="123">
        <v>-13811</v>
      </c>
      <c r="N142" s="167"/>
      <c r="O142" s="84">
        <v>19492</v>
      </c>
      <c r="P142" s="84">
        <v>19492</v>
      </c>
      <c r="Q142" s="84">
        <v>19492</v>
      </c>
      <c r="R142" s="85">
        <v>19104</v>
      </c>
      <c r="S142" s="167"/>
      <c r="T142" s="84">
        <v>-214607</v>
      </c>
      <c r="U142" s="84">
        <v>-214607</v>
      </c>
      <c r="V142" s="85">
        <v>-137347</v>
      </c>
      <c r="X142" s="84">
        <v>374826</v>
      </c>
      <c r="Y142" s="84">
        <v>269877</v>
      </c>
      <c r="AA142" s="85">
        <f>VLOOKUP(A142,'Change in Proportion Calc'!$A$5:$H$319,8,FALSE)+I142+O142+T142+X142</f>
        <v>125665</v>
      </c>
      <c r="AC142" s="84">
        <f t="shared" si="6"/>
        <v>327965</v>
      </c>
      <c r="AD142" s="84">
        <f t="shared" si="7"/>
        <v>603417</v>
      </c>
      <c r="AF142" s="84">
        <f>VLOOKUP(A142,'OPEB Amounts_Report'!$A$10:$G$324,6,FALSE)</f>
        <v>969772</v>
      </c>
      <c r="AG142" s="85">
        <f t="shared" si="8"/>
        <v>-641807</v>
      </c>
    </row>
    <row r="143" spans="1:33">
      <c r="A143" s="166">
        <v>3150</v>
      </c>
      <c r="B143" s="167" t="s">
        <v>133</v>
      </c>
      <c r="C143" s="123">
        <f>VLOOKUP($A143,'Change in Proportion Calc'!$A$5:$P$319,12,FALSE)</f>
        <v>358926</v>
      </c>
      <c r="D143" s="123">
        <f>VLOOKUP($A143,'Change in Proportion Calc'!$A$5:$P$319,13,FALSE)</f>
        <v>358926</v>
      </c>
      <c r="E143" s="123">
        <f>VLOOKUP($A143,'Change in Proportion Calc'!$A$5:$P$319,13,FALSE)</f>
        <v>358926</v>
      </c>
      <c r="F143" s="123">
        <f>VLOOKUP($A143,'Change in Proportion Calc'!$A$5:$P$319,13,FALSE)</f>
        <v>358926</v>
      </c>
      <c r="G143" s="123">
        <f>VLOOKUP($A143,'Change in Proportion Calc'!$A$5:$P$319,16,FALSE)</f>
        <v>319444</v>
      </c>
      <c r="H143" s="167"/>
      <c r="I143" s="123">
        <v>-65115</v>
      </c>
      <c r="J143" s="123">
        <v>-65115</v>
      </c>
      <c r="K143" s="123">
        <v>-65115</v>
      </c>
      <c r="L143" s="123">
        <v>-65115</v>
      </c>
      <c r="M143" s="123">
        <v>-63815</v>
      </c>
      <c r="N143" s="167"/>
      <c r="O143" s="84">
        <v>-203424</v>
      </c>
      <c r="P143" s="84">
        <v>-203424</v>
      </c>
      <c r="Q143" s="84">
        <v>-203424</v>
      </c>
      <c r="R143" s="85">
        <v>-199355</v>
      </c>
      <c r="S143" s="167"/>
      <c r="T143" s="84">
        <v>469186</v>
      </c>
      <c r="U143" s="84">
        <v>469186</v>
      </c>
      <c r="V143" s="85">
        <v>300277</v>
      </c>
      <c r="X143" s="84">
        <v>38903</v>
      </c>
      <c r="Y143" s="84">
        <v>28008</v>
      </c>
      <c r="AA143" s="85">
        <f>VLOOKUP(A143,'Change in Proportion Calc'!$A$5:$H$319,8,FALSE)+I143+O143+T143+X143</f>
        <v>598476</v>
      </c>
      <c r="AC143" s="84">
        <f t="shared" si="6"/>
        <v>2552619</v>
      </c>
      <c r="AD143" s="84">
        <f t="shared" si="7"/>
        <v>865363</v>
      </c>
      <c r="AF143" s="84">
        <f>VLOOKUP(A143,'OPEB Amounts_Report'!$A$10:$G$324,6,FALSE)</f>
        <v>2078190</v>
      </c>
      <c r="AG143" s="85">
        <f t="shared" si="8"/>
        <v>474429</v>
      </c>
    </row>
    <row r="144" spans="1:33">
      <c r="A144" s="164">
        <v>3160</v>
      </c>
      <c r="B144" s="168" t="s">
        <v>134</v>
      </c>
      <c r="C144" s="123">
        <f>VLOOKUP($A144,'Change in Proportion Calc'!$A$5:$P$319,12,FALSE)</f>
        <v>29462</v>
      </c>
      <c r="D144" s="123">
        <f>VLOOKUP($A144,'Change in Proportion Calc'!$A$5:$P$319,13,FALSE)</f>
        <v>29462</v>
      </c>
      <c r="E144" s="123">
        <f>VLOOKUP($A144,'Change in Proportion Calc'!$A$5:$P$319,13,FALSE)</f>
        <v>29462</v>
      </c>
      <c r="F144" s="123">
        <f>VLOOKUP($A144,'Change in Proportion Calc'!$A$5:$P$319,13,FALSE)</f>
        <v>29462</v>
      </c>
      <c r="G144" s="123">
        <f>VLOOKUP($A144,'Change in Proportion Calc'!$A$5:$P$319,16,FALSE)</f>
        <v>26222</v>
      </c>
      <c r="H144" s="167"/>
      <c r="I144" s="123">
        <v>-6155</v>
      </c>
      <c r="J144" s="123">
        <v>-6155</v>
      </c>
      <c r="K144" s="123">
        <v>-6155</v>
      </c>
      <c r="L144" s="123">
        <v>-6155</v>
      </c>
      <c r="M144" s="123">
        <v>-6033</v>
      </c>
      <c r="N144" s="167"/>
      <c r="O144" s="84">
        <v>-75737</v>
      </c>
      <c r="P144" s="84">
        <v>-75737</v>
      </c>
      <c r="Q144" s="84">
        <v>-75737</v>
      </c>
      <c r="R144" s="85">
        <v>-74220</v>
      </c>
      <c r="S144" s="167"/>
      <c r="T144" s="84">
        <v>33083</v>
      </c>
      <c r="U144" s="84">
        <v>33083</v>
      </c>
      <c r="V144" s="85">
        <v>21175</v>
      </c>
      <c r="X144" s="84">
        <v>1556</v>
      </c>
      <c r="Y144" s="84">
        <v>1121</v>
      </c>
      <c r="AA144" s="85">
        <f>VLOOKUP(A144,'Change in Proportion Calc'!$A$5:$H$319,8,FALSE)+I144+O144+T144+X144</f>
        <v>-17791</v>
      </c>
      <c r="AC144" s="84">
        <f t="shared" si="6"/>
        <v>199449</v>
      </c>
      <c r="AD144" s="84">
        <f t="shared" si="7"/>
        <v>250192</v>
      </c>
      <c r="AF144" s="84">
        <f>VLOOKUP(A144,'OPEB Amounts_Report'!$A$10:$G$324,6,FALSE)</f>
        <v>486291</v>
      </c>
      <c r="AG144" s="85">
        <f t="shared" si="8"/>
        <v>-286842</v>
      </c>
    </row>
    <row r="145" spans="1:33">
      <c r="A145" s="164">
        <v>10120</v>
      </c>
      <c r="B145" s="168" t="s">
        <v>136</v>
      </c>
      <c r="C145" s="123">
        <f>VLOOKUP($A145,'Change in Proportion Calc'!$A$5:$P$319,12,FALSE)</f>
        <v>14352</v>
      </c>
      <c r="D145" s="123">
        <f>VLOOKUP($A145,'Change in Proportion Calc'!$A$5:$P$319,13,FALSE)</f>
        <v>14352</v>
      </c>
      <c r="E145" s="123">
        <f>VLOOKUP($A145,'Change in Proportion Calc'!$A$5:$P$319,13,FALSE)</f>
        <v>14352</v>
      </c>
      <c r="F145" s="123">
        <f>VLOOKUP($A145,'Change in Proportion Calc'!$A$5:$P$319,13,FALSE)</f>
        <v>14352</v>
      </c>
      <c r="G145" s="123">
        <f>VLOOKUP($A145,'Change in Proportion Calc'!$A$5:$P$319,16,FALSE)</f>
        <v>12775</v>
      </c>
      <c r="H145" s="167"/>
      <c r="I145" s="123">
        <v>648</v>
      </c>
      <c r="J145" s="123">
        <v>648</v>
      </c>
      <c r="K145" s="123">
        <v>648</v>
      </c>
      <c r="L145" s="123">
        <v>648</v>
      </c>
      <c r="M145" s="123">
        <v>635</v>
      </c>
      <c r="N145" s="167"/>
      <c r="O145" s="84">
        <v>-10991</v>
      </c>
      <c r="P145" s="84">
        <v>-10991</v>
      </c>
      <c r="Q145" s="84">
        <v>-10991</v>
      </c>
      <c r="R145" s="85">
        <v>-10773</v>
      </c>
      <c r="S145" s="167"/>
      <c r="T145" s="84">
        <v>-17464</v>
      </c>
      <c r="U145" s="84">
        <v>-17464</v>
      </c>
      <c r="V145" s="85">
        <v>-11175</v>
      </c>
      <c r="X145" s="84">
        <v>14005</v>
      </c>
      <c r="Y145" s="84">
        <v>10083</v>
      </c>
      <c r="AA145" s="85">
        <f>VLOOKUP(A145,'Change in Proportion Calc'!$A$5:$H$319,8,FALSE)+I145+O145+T145+X145</f>
        <v>550</v>
      </c>
      <c r="AC145" s="84">
        <f t="shared" si="6"/>
        <v>82845</v>
      </c>
      <c r="AD145" s="84">
        <f t="shared" si="7"/>
        <v>61394</v>
      </c>
      <c r="AF145" s="84">
        <f>VLOOKUP(A145,'OPEB Amounts_Report'!$A$10:$G$324,6,FALSE)</f>
        <v>240281</v>
      </c>
      <c r="AG145" s="85">
        <f t="shared" si="8"/>
        <v>-157436</v>
      </c>
    </row>
    <row r="146" spans="1:33">
      <c r="A146" s="166">
        <v>23070</v>
      </c>
      <c r="B146" s="167" t="s">
        <v>137</v>
      </c>
      <c r="C146" s="123">
        <f>VLOOKUP($A146,'Change in Proportion Calc'!$A$5:$P$319,12,FALSE)</f>
        <v>1123</v>
      </c>
      <c r="D146" s="123">
        <f>VLOOKUP($A146,'Change in Proportion Calc'!$A$5:$P$319,13,FALSE)</f>
        <v>1123</v>
      </c>
      <c r="E146" s="123">
        <f>VLOOKUP($A146,'Change in Proportion Calc'!$A$5:$P$319,13,FALSE)</f>
        <v>1123</v>
      </c>
      <c r="F146" s="123">
        <f>VLOOKUP($A146,'Change in Proportion Calc'!$A$5:$P$319,13,FALSE)</f>
        <v>1123</v>
      </c>
      <c r="G146" s="123">
        <f>VLOOKUP($A146,'Change in Proportion Calc'!$A$5:$P$319,16,FALSE)</f>
        <v>999</v>
      </c>
      <c r="H146" s="167"/>
      <c r="I146" s="123">
        <v>-3158</v>
      </c>
      <c r="J146" s="123">
        <v>-3158</v>
      </c>
      <c r="K146" s="123">
        <v>-3158</v>
      </c>
      <c r="L146" s="123">
        <v>-3158</v>
      </c>
      <c r="M146" s="123">
        <v>-3097</v>
      </c>
      <c r="N146" s="167"/>
      <c r="O146" s="84">
        <v>20780</v>
      </c>
      <c r="P146" s="84">
        <v>20780</v>
      </c>
      <c r="Q146" s="84">
        <v>20780</v>
      </c>
      <c r="R146" s="85">
        <v>20366</v>
      </c>
      <c r="S146" s="167"/>
      <c r="T146" s="84">
        <v>34054</v>
      </c>
      <c r="U146" s="84">
        <v>34054</v>
      </c>
      <c r="V146" s="85">
        <v>21793</v>
      </c>
      <c r="X146" s="84">
        <v>10601</v>
      </c>
      <c r="Y146" s="84">
        <v>7632</v>
      </c>
      <c r="AA146" s="85">
        <f>VLOOKUP(A146,'Change in Proportion Calc'!$A$5:$H$319,8,FALSE)+I146+O146+T146+X146</f>
        <v>63400</v>
      </c>
      <c r="AC146" s="84">
        <f t="shared" si="6"/>
        <v>130896</v>
      </c>
      <c r="AD146" s="84">
        <f t="shared" si="7"/>
        <v>12571</v>
      </c>
      <c r="AF146" s="84">
        <f>VLOOKUP(A146,'OPEB Amounts_Report'!$A$10:$G$324,6,FALSE)</f>
        <v>387789</v>
      </c>
      <c r="AG146" s="85">
        <f t="shared" si="8"/>
        <v>-256893</v>
      </c>
    </row>
    <row r="147" spans="1:33">
      <c r="A147" s="164">
        <v>3170</v>
      </c>
      <c r="B147" s="168" t="s">
        <v>138</v>
      </c>
      <c r="C147" s="123">
        <f>VLOOKUP($A147,'Change in Proportion Calc'!$A$5:$P$319,12,FALSE)</f>
        <v>-197883</v>
      </c>
      <c r="D147" s="123">
        <f>VLOOKUP($A147,'Change in Proportion Calc'!$A$5:$P$319,13,FALSE)</f>
        <v>-197883</v>
      </c>
      <c r="E147" s="123">
        <f>VLOOKUP($A147,'Change in Proportion Calc'!$A$5:$P$319,13,FALSE)</f>
        <v>-197883</v>
      </c>
      <c r="F147" s="123">
        <f>VLOOKUP($A147,'Change in Proportion Calc'!$A$5:$P$319,13,FALSE)</f>
        <v>-197883</v>
      </c>
      <c r="G147" s="123">
        <f>VLOOKUP($A147,'Change in Proportion Calc'!$A$5:$P$319,16,FALSE)</f>
        <v>-176118</v>
      </c>
      <c r="H147" s="167"/>
      <c r="I147" s="123">
        <v>297717</v>
      </c>
      <c r="J147" s="123">
        <v>297717</v>
      </c>
      <c r="K147" s="123">
        <v>297717</v>
      </c>
      <c r="L147" s="123">
        <v>297717</v>
      </c>
      <c r="M147" s="123">
        <v>291764</v>
      </c>
      <c r="N147" s="167"/>
      <c r="O147" s="84">
        <v>-493833</v>
      </c>
      <c r="P147" s="84">
        <v>-493833</v>
      </c>
      <c r="Q147" s="84">
        <v>-493833</v>
      </c>
      <c r="R147" s="85">
        <v>-483957</v>
      </c>
      <c r="S147" s="167"/>
      <c r="T147" s="84">
        <v>-623058</v>
      </c>
      <c r="U147" s="84">
        <v>-623058</v>
      </c>
      <c r="V147" s="85">
        <v>-398758</v>
      </c>
      <c r="X147" s="84">
        <v>308789</v>
      </c>
      <c r="Y147" s="84">
        <v>222330</v>
      </c>
      <c r="AA147" s="85">
        <f>VLOOKUP(A147,'Change in Proportion Calc'!$A$5:$H$319,8,FALSE)+I147+O147+T147+X147</f>
        <v>-708269</v>
      </c>
      <c r="AC147" s="84">
        <f t="shared" si="6"/>
        <v>1407245</v>
      </c>
      <c r="AD147" s="84">
        <f t="shared" si="7"/>
        <v>3461089</v>
      </c>
      <c r="AF147" s="84">
        <f>VLOOKUP(A147,'OPEB Amounts_Report'!$A$10:$G$324,6,FALSE)</f>
        <v>4528069</v>
      </c>
      <c r="AG147" s="85">
        <f t="shared" si="8"/>
        <v>-3120824</v>
      </c>
    </row>
    <row r="148" spans="1:33">
      <c r="A148" s="166">
        <v>32093</v>
      </c>
      <c r="B148" s="167" t="s">
        <v>139</v>
      </c>
      <c r="C148" s="123">
        <f>VLOOKUP($A148,'Change in Proportion Calc'!$A$5:$P$319,12,FALSE)</f>
        <v>-45353</v>
      </c>
      <c r="D148" s="123">
        <f>VLOOKUP($A148,'Change in Proportion Calc'!$A$5:$P$319,13,FALSE)</f>
        <v>-45353</v>
      </c>
      <c r="E148" s="123">
        <f>VLOOKUP($A148,'Change in Proportion Calc'!$A$5:$P$319,13,FALSE)</f>
        <v>-45353</v>
      </c>
      <c r="F148" s="123">
        <f>VLOOKUP($A148,'Change in Proportion Calc'!$A$5:$P$319,13,FALSE)</f>
        <v>-45353</v>
      </c>
      <c r="G148" s="123">
        <f>VLOOKUP($A148,'Change in Proportion Calc'!$A$5:$P$319,16,FALSE)</f>
        <v>-40362</v>
      </c>
      <c r="H148" s="167"/>
      <c r="I148" s="123">
        <v>93786</v>
      </c>
      <c r="J148" s="123">
        <v>93786</v>
      </c>
      <c r="K148" s="123">
        <v>93786</v>
      </c>
      <c r="L148" s="123">
        <v>93786</v>
      </c>
      <c r="M148" s="123">
        <v>91909</v>
      </c>
      <c r="N148" s="167"/>
      <c r="O148" s="84">
        <v>26791</v>
      </c>
      <c r="P148" s="84">
        <v>26791</v>
      </c>
      <c r="Q148" s="84">
        <v>26791</v>
      </c>
      <c r="R148" s="85">
        <v>26256</v>
      </c>
      <c r="S148" s="167"/>
      <c r="T148" s="84">
        <v>248078</v>
      </c>
      <c r="U148" s="84">
        <v>248078</v>
      </c>
      <c r="V148" s="85">
        <v>158772</v>
      </c>
      <c r="X148" s="84">
        <v>79361</v>
      </c>
      <c r="Y148" s="84">
        <v>57142</v>
      </c>
      <c r="AA148" s="85">
        <f>VLOOKUP(A148,'Change in Proportion Calc'!$A$5:$H$319,8,FALSE)+I148+O148+T148+X148</f>
        <v>402663</v>
      </c>
      <c r="AC148" s="84">
        <f t="shared" si="6"/>
        <v>917097</v>
      </c>
      <c r="AD148" s="84">
        <f t="shared" si="7"/>
        <v>221774</v>
      </c>
      <c r="AF148" s="84">
        <f>VLOOKUP(A148,'OPEB Amounts_Report'!$A$10:$G$324,6,FALSE)</f>
        <v>2963433</v>
      </c>
      <c r="AG148" s="85">
        <f t="shared" si="8"/>
        <v>-2046336</v>
      </c>
    </row>
    <row r="149" spans="1:33">
      <c r="A149" s="164">
        <v>14045</v>
      </c>
      <c r="B149" s="168" t="s">
        <v>140</v>
      </c>
      <c r="C149" s="123">
        <f>VLOOKUP($A149,'Change in Proportion Calc'!$A$5:$P$319,12,FALSE)</f>
        <v>-25702</v>
      </c>
      <c r="D149" s="123">
        <f>VLOOKUP($A149,'Change in Proportion Calc'!$A$5:$P$319,13,FALSE)</f>
        <v>-25702</v>
      </c>
      <c r="E149" s="123">
        <f>VLOOKUP($A149,'Change in Proportion Calc'!$A$5:$P$319,13,FALSE)</f>
        <v>-25702</v>
      </c>
      <c r="F149" s="123">
        <f>VLOOKUP($A149,'Change in Proportion Calc'!$A$5:$P$319,13,FALSE)</f>
        <v>-25702</v>
      </c>
      <c r="G149" s="123">
        <f>VLOOKUP($A149,'Change in Proportion Calc'!$A$5:$P$319,16,FALSE)</f>
        <v>-22875</v>
      </c>
      <c r="H149" s="167"/>
      <c r="I149" s="123">
        <v>10610</v>
      </c>
      <c r="J149" s="123">
        <v>10610</v>
      </c>
      <c r="K149" s="123">
        <v>10610</v>
      </c>
      <c r="L149" s="123">
        <v>10610</v>
      </c>
      <c r="M149" s="123">
        <v>10396</v>
      </c>
      <c r="N149" s="167"/>
      <c r="O149" s="84">
        <v>230644</v>
      </c>
      <c r="P149" s="84">
        <v>230644</v>
      </c>
      <c r="Q149" s="84">
        <v>230644</v>
      </c>
      <c r="R149" s="85">
        <v>226033</v>
      </c>
      <c r="S149" s="167"/>
      <c r="T149" s="84">
        <v>324044</v>
      </c>
      <c r="U149" s="84">
        <v>324044</v>
      </c>
      <c r="V149" s="85">
        <v>207390</v>
      </c>
      <c r="X149" s="84">
        <v>190817</v>
      </c>
      <c r="Y149" s="84">
        <v>137390</v>
      </c>
      <c r="AA149" s="85">
        <f>VLOOKUP(A149,'Change in Proportion Calc'!$A$5:$H$319,8,FALSE)+I149+O149+T149+X149</f>
        <v>730413</v>
      </c>
      <c r="AC149" s="84">
        <f t="shared" si="6"/>
        <v>1398371</v>
      </c>
      <c r="AD149" s="84">
        <f t="shared" si="7"/>
        <v>125683</v>
      </c>
      <c r="AF149" s="84">
        <f>VLOOKUP(A149,'OPEB Amounts_Report'!$A$10:$G$324,6,FALSE)</f>
        <v>5152119</v>
      </c>
      <c r="AG149" s="85">
        <f t="shared" si="8"/>
        <v>-3753748</v>
      </c>
    </row>
    <row r="150" spans="1:33">
      <c r="A150" s="166">
        <v>2322</v>
      </c>
      <c r="B150" s="167" t="s">
        <v>141</v>
      </c>
      <c r="C150" s="123">
        <f>VLOOKUP($A150,'Change in Proportion Calc'!$A$5:$P$319,12,FALSE)</f>
        <v>29179</v>
      </c>
      <c r="D150" s="123">
        <f>VLOOKUP($A150,'Change in Proportion Calc'!$A$5:$P$319,13,FALSE)</f>
        <v>29179</v>
      </c>
      <c r="E150" s="123">
        <f>VLOOKUP($A150,'Change in Proportion Calc'!$A$5:$P$319,13,FALSE)</f>
        <v>29179</v>
      </c>
      <c r="F150" s="123">
        <f>VLOOKUP($A150,'Change in Proportion Calc'!$A$5:$P$319,13,FALSE)</f>
        <v>29179</v>
      </c>
      <c r="G150" s="123">
        <f>VLOOKUP($A150,'Change in Proportion Calc'!$A$5:$P$319,16,FALSE)</f>
        <v>25969</v>
      </c>
      <c r="H150" s="167"/>
      <c r="I150" s="123">
        <v>-7046</v>
      </c>
      <c r="J150" s="123">
        <v>-7046</v>
      </c>
      <c r="K150" s="123">
        <v>-7046</v>
      </c>
      <c r="L150" s="123">
        <v>-7046</v>
      </c>
      <c r="M150" s="123">
        <v>-6906</v>
      </c>
      <c r="N150" s="167"/>
      <c r="O150" s="84">
        <v>-30312</v>
      </c>
      <c r="P150" s="84">
        <v>-30312</v>
      </c>
      <c r="Q150" s="84">
        <v>-30312</v>
      </c>
      <c r="R150" s="85">
        <v>-29704</v>
      </c>
      <c r="S150" s="167"/>
      <c r="T150" s="84">
        <v>12225</v>
      </c>
      <c r="U150" s="84">
        <v>12225</v>
      </c>
      <c r="V150" s="85">
        <v>7822</v>
      </c>
      <c r="X150" s="84">
        <v>-10698</v>
      </c>
      <c r="Y150" s="84">
        <v>-7704</v>
      </c>
      <c r="AA150" s="85">
        <f>VLOOKUP(A150,'Change in Proportion Calc'!$A$5:$H$319,8,FALSE)+I150+O150+T150+X150</f>
        <v>-6652</v>
      </c>
      <c r="AC150" s="84">
        <f t="shared" si="6"/>
        <v>162732</v>
      </c>
      <c r="AD150" s="84">
        <f t="shared" si="7"/>
        <v>126076</v>
      </c>
      <c r="AF150" s="84">
        <f>VLOOKUP(A150,'OPEB Amounts_Report'!$A$10:$G$324,6,FALSE)</f>
        <v>137826</v>
      </c>
      <c r="AG150" s="85">
        <f t="shared" si="8"/>
        <v>24906</v>
      </c>
    </row>
    <row r="151" spans="1:33">
      <c r="A151" s="164">
        <v>3006</v>
      </c>
      <c r="B151" s="168" t="s">
        <v>142</v>
      </c>
      <c r="C151" s="123">
        <f>VLOOKUP($A151,'Change in Proportion Calc'!$A$5:$P$319,12,FALSE)</f>
        <v>-39967</v>
      </c>
      <c r="D151" s="123">
        <f>VLOOKUP($A151,'Change in Proportion Calc'!$A$5:$P$319,13,FALSE)</f>
        <v>-39967</v>
      </c>
      <c r="E151" s="123">
        <f>VLOOKUP($A151,'Change in Proportion Calc'!$A$5:$P$319,13,FALSE)</f>
        <v>-39967</v>
      </c>
      <c r="F151" s="123">
        <f>VLOOKUP($A151,'Change in Proportion Calc'!$A$5:$P$319,13,FALSE)</f>
        <v>-39967</v>
      </c>
      <c r="G151" s="123">
        <f>VLOOKUP($A151,'Change in Proportion Calc'!$A$5:$P$319,16,FALSE)</f>
        <v>-35573</v>
      </c>
      <c r="H151" s="167"/>
      <c r="I151" s="123">
        <v>83743</v>
      </c>
      <c r="J151" s="123">
        <v>83743</v>
      </c>
      <c r="K151" s="123">
        <v>83743</v>
      </c>
      <c r="L151" s="123">
        <v>83743</v>
      </c>
      <c r="M151" s="123">
        <v>82069</v>
      </c>
      <c r="N151" s="167"/>
      <c r="O151" s="84">
        <v>80545</v>
      </c>
      <c r="P151" s="84">
        <v>80545</v>
      </c>
      <c r="Q151" s="84">
        <v>80545</v>
      </c>
      <c r="R151" s="85">
        <v>78935</v>
      </c>
      <c r="S151" s="167"/>
      <c r="T151" s="84">
        <v>-41815</v>
      </c>
      <c r="U151" s="84">
        <v>-41815</v>
      </c>
      <c r="V151" s="85">
        <v>-26763</v>
      </c>
      <c r="X151" s="84">
        <v>-76735</v>
      </c>
      <c r="Y151" s="84">
        <v>-55251</v>
      </c>
      <c r="AA151" s="85">
        <f>VLOOKUP(A151,'Change in Proportion Calc'!$A$5:$H$319,8,FALSE)+I151+O151+T151+X151</f>
        <v>5770</v>
      </c>
      <c r="AC151" s="84">
        <f t="shared" si="6"/>
        <v>573323</v>
      </c>
      <c r="AD151" s="84">
        <f t="shared" si="7"/>
        <v>319270</v>
      </c>
      <c r="AF151" s="84">
        <f>VLOOKUP(A151,'OPEB Amounts_Report'!$A$10:$G$324,6,FALSE)</f>
        <v>418713</v>
      </c>
      <c r="AG151" s="85">
        <f t="shared" si="8"/>
        <v>154610</v>
      </c>
    </row>
    <row r="152" spans="1:33">
      <c r="A152" s="166">
        <v>6019</v>
      </c>
      <c r="B152" s="167" t="s">
        <v>143</v>
      </c>
      <c r="C152" s="123">
        <f>VLOOKUP($A152,'Change in Proportion Calc'!$A$5:$P$319,12,FALSE)</f>
        <v>-192519</v>
      </c>
      <c r="D152" s="123">
        <f>VLOOKUP($A152,'Change in Proportion Calc'!$A$5:$P$319,13,FALSE)</f>
        <v>-192519</v>
      </c>
      <c r="E152" s="123">
        <f>VLOOKUP($A152,'Change in Proportion Calc'!$A$5:$P$319,13,FALSE)</f>
        <v>-192519</v>
      </c>
      <c r="F152" s="123">
        <f>VLOOKUP($A152,'Change in Proportion Calc'!$A$5:$P$319,13,FALSE)</f>
        <v>-192519</v>
      </c>
      <c r="G152" s="123">
        <f>VLOOKUP($A152,'Change in Proportion Calc'!$A$5:$P$319,16,FALSE)</f>
        <v>-171344</v>
      </c>
      <c r="H152" s="167"/>
      <c r="I152" s="123">
        <v>137439</v>
      </c>
      <c r="J152" s="123">
        <v>137439</v>
      </c>
      <c r="K152" s="123">
        <v>137439</v>
      </c>
      <c r="L152" s="123">
        <v>137439</v>
      </c>
      <c r="M152" s="123">
        <v>134691</v>
      </c>
      <c r="N152" s="167"/>
      <c r="O152" s="84">
        <v>152933</v>
      </c>
      <c r="P152" s="84">
        <v>152933</v>
      </c>
      <c r="Q152" s="84">
        <v>152933</v>
      </c>
      <c r="R152" s="85">
        <v>149873</v>
      </c>
      <c r="S152" s="167"/>
      <c r="T152" s="84">
        <v>51420</v>
      </c>
      <c r="U152" s="84">
        <v>51420</v>
      </c>
      <c r="V152" s="85">
        <v>32910</v>
      </c>
      <c r="X152" s="84">
        <v>-64675</v>
      </c>
      <c r="Y152" s="84">
        <v>-46568</v>
      </c>
      <c r="AA152" s="85">
        <f>VLOOKUP(A152,'Change in Proportion Calc'!$A$5:$H$319,8,FALSE)+I152+O152+T152+X152</f>
        <v>84598</v>
      </c>
      <c r="AC152" s="84">
        <f t="shared" si="6"/>
        <v>1087077</v>
      </c>
      <c r="AD152" s="84">
        <f t="shared" si="7"/>
        <v>987988</v>
      </c>
      <c r="AF152" s="84">
        <f>VLOOKUP(A152,'OPEB Amounts_Report'!$A$10:$G$324,6,FALSE)</f>
        <v>2165292</v>
      </c>
      <c r="AG152" s="85">
        <f t="shared" si="8"/>
        <v>-1078215</v>
      </c>
    </row>
    <row r="153" spans="1:33">
      <c r="A153" s="164">
        <v>12128</v>
      </c>
      <c r="B153" s="168" t="s">
        <v>144</v>
      </c>
      <c r="C153" s="123">
        <f>VLOOKUP($A153,'Change in Proportion Calc'!$A$5:$P$319,12,FALSE)</f>
        <v>-124015</v>
      </c>
      <c r="D153" s="123">
        <f>VLOOKUP($A153,'Change in Proportion Calc'!$A$5:$P$319,13,FALSE)</f>
        <v>-124015</v>
      </c>
      <c r="E153" s="123">
        <f>VLOOKUP($A153,'Change in Proportion Calc'!$A$5:$P$319,13,FALSE)</f>
        <v>-124015</v>
      </c>
      <c r="F153" s="123">
        <f>VLOOKUP($A153,'Change in Proportion Calc'!$A$5:$P$319,13,FALSE)</f>
        <v>-124015</v>
      </c>
      <c r="G153" s="123">
        <f>VLOOKUP($A153,'Change in Proportion Calc'!$A$5:$P$319,16,FALSE)</f>
        <v>-110373</v>
      </c>
      <c r="H153" s="167"/>
      <c r="I153" s="123">
        <v>-63496</v>
      </c>
      <c r="J153" s="123">
        <v>-63496</v>
      </c>
      <c r="K153" s="123">
        <v>-63496</v>
      </c>
      <c r="L153" s="123">
        <v>-63496</v>
      </c>
      <c r="M153" s="123">
        <v>-62224</v>
      </c>
      <c r="N153" s="167"/>
      <c r="O153" s="84">
        <v>-99780</v>
      </c>
      <c r="P153" s="84">
        <v>-99780</v>
      </c>
      <c r="Q153" s="84">
        <v>-99780</v>
      </c>
      <c r="R153" s="85">
        <v>-97784</v>
      </c>
      <c r="S153" s="167"/>
      <c r="T153" s="84">
        <v>83922</v>
      </c>
      <c r="U153" s="84">
        <v>83922</v>
      </c>
      <c r="V153" s="85">
        <v>53708</v>
      </c>
      <c r="X153" s="84">
        <v>-10018</v>
      </c>
      <c r="Y153" s="84">
        <v>-7211</v>
      </c>
      <c r="AA153" s="85">
        <f>VLOOKUP(A153,'Change in Proportion Calc'!$A$5:$H$319,8,FALSE)+I153+O153+T153+X153</f>
        <v>-213387</v>
      </c>
      <c r="AC153" s="84">
        <f t="shared" si="6"/>
        <v>137630</v>
      </c>
      <c r="AD153" s="84">
        <f t="shared" si="7"/>
        <v>1163700</v>
      </c>
      <c r="AF153" s="84">
        <f>VLOOKUP(A153,'OPEB Amounts_Report'!$A$10:$G$324,6,FALSE)</f>
        <v>498071</v>
      </c>
      <c r="AG153" s="85">
        <f t="shared" si="8"/>
        <v>-360441</v>
      </c>
    </row>
    <row r="154" spans="1:33">
      <c r="A154" s="166">
        <v>3180</v>
      </c>
      <c r="B154" s="167" t="s">
        <v>145</v>
      </c>
      <c r="C154" s="123">
        <f>VLOOKUP($A154,'Change in Proportion Calc'!$A$5:$P$319,12,FALSE)</f>
        <v>55859</v>
      </c>
      <c r="D154" s="123">
        <f>VLOOKUP($A154,'Change in Proportion Calc'!$A$5:$P$319,13,FALSE)</f>
        <v>55859</v>
      </c>
      <c r="E154" s="123">
        <f>VLOOKUP($A154,'Change in Proportion Calc'!$A$5:$P$319,13,FALSE)</f>
        <v>55859</v>
      </c>
      <c r="F154" s="123">
        <f>VLOOKUP($A154,'Change in Proportion Calc'!$A$5:$P$319,13,FALSE)</f>
        <v>55859</v>
      </c>
      <c r="G154" s="123">
        <f>VLOOKUP($A154,'Change in Proportion Calc'!$A$5:$P$319,16,FALSE)</f>
        <v>49716</v>
      </c>
      <c r="H154" s="167"/>
      <c r="I154" s="123">
        <v>-51995</v>
      </c>
      <c r="J154" s="123">
        <v>-51995</v>
      </c>
      <c r="K154" s="123">
        <v>-51995</v>
      </c>
      <c r="L154" s="123">
        <v>-51995</v>
      </c>
      <c r="M154" s="123">
        <v>-50956</v>
      </c>
      <c r="N154" s="167"/>
      <c r="O154" s="84">
        <v>-19320</v>
      </c>
      <c r="P154" s="84">
        <v>-19320</v>
      </c>
      <c r="Q154" s="84">
        <v>-19320</v>
      </c>
      <c r="R154" s="85">
        <v>-18936</v>
      </c>
      <c r="S154" s="167"/>
      <c r="T154" s="84">
        <v>-84310</v>
      </c>
      <c r="U154" s="84">
        <v>-84310</v>
      </c>
      <c r="V154" s="85">
        <v>-53957</v>
      </c>
      <c r="X154" s="84">
        <v>-21007</v>
      </c>
      <c r="Y154" s="84">
        <v>-15127</v>
      </c>
      <c r="AA154" s="85">
        <f>VLOOKUP(A154,'Change in Proportion Calc'!$A$5:$H$319,8,FALSE)+I154+O154+T154+X154</f>
        <v>-120773</v>
      </c>
      <c r="AC154" s="84">
        <f t="shared" si="6"/>
        <v>273152</v>
      </c>
      <c r="AD154" s="84">
        <f t="shared" si="7"/>
        <v>417911</v>
      </c>
      <c r="AF154" s="84">
        <f>VLOOKUP(A154,'OPEB Amounts_Report'!$A$10:$G$324,6,FALSE)</f>
        <v>913783</v>
      </c>
      <c r="AG154" s="85">
        <f t="shared" si="8"/>
        <v>-640631</v>
      </c>
    </row>
    <row r="155" spans="1:33">
      <c r="A155" s="164">
        <v>25075</v>
      </c>
      <c r="B155" s="168" t="s">
        <v>146</v>
      </c>
      <c r="C155" s="123">
        <f>VLOOKUP($A155,'Change in Proportion Calc'!$A$5:$P$319,12,FALSE)</f>
        <v>55924</v>
      </c>
      <c r="D155" s="123">
        <f>VLOOKUP($A155,'Change in Proportion Calc'!$A$5:$P$319,13,FALSE)</f>
        <v>55924</v>
      </c>
      <c r="E155" s="123">
        <f>VLOOKUP($A155,'Change in Proportion Calc'!$A$5:$P$319,13,FALSE)</f>
        <v>55924</v>
      </c>
      <c r="F155" s="123">
        <f>VLOOKUP($A155,'Change in Proportion Calc'!$A$5:$P$319,13,FALSE)</f>
        <v>55924</v>
      </c>
      <c r="G155" s="123">
        <f>VLOOKUP($A155,'Change in Proportion Calc'!$A$5:$P$319,16,FALSE)</f>
        <v>49774</v>
      </c>
      <c r="H155" s="167"/>
      <c r="I155" s="123">
        <v>25026</v>
      </c>
      <c r="J155" s="123">
        <v>25026</v>
      </c>
      <c r="K155" s="123">
        <v>25026</v>
      </c>
      <c r="L155" s="123">
        <v>25026</v>
      </c>
      <c r="M155" s="123">
        <v>24524</v>
      </c>
      <c r="N155" s="167"/>
      <c r="O155" s="84">
        <v>-22755</v>
      </c>
      <c r="P155" s="84">
        <v>-22755</v>
      </c>
      <c r="Q155" s="84">
        <v>-22755</v>
      </c>
      <c r="R155" s="85">
        <v>-22302</v>
      </c>
      <c r="S155" s="167"/>
      <c r="T155" s="84">
        <v>58988</v>
      </c>
      <c r="U155" s="84">
        <v>58988</v>
      </c>
      <c r="V155" s="85">
        <v>37751</v>
      </c>
      <c r="X155" s="84">
        <v>-85586</v>
      </c>
      <c r="Y155" s="84">
        <v>-61620</v>
      </c>
      <c r="AA155" s="85">
        <f>VLOOKUP(A155,'Change in Proportion Calc'!$A$5:$H$319,8,FALSE)+I155+O155+T155+X155</f>
        <v>31597</v>
      </c>
      <c r="AC155" s="84">
        <f t="shared" si="6"/>
        <v>469811</v>
      </c>
      <c r="AD155" s="84">
        <f t="shared" si="7"/>
        <v>129432</v>
      </c>
      <c r="AF155" s="84">
        <f>VLOOKUP(A155,'OPEB Amounts_Report'!$A$10:$G$324,6,FALSE)</f>
        <v>394295</v>
      </c>
      <c r="AG155" s="85">
        <f t="shared" si="8"/>
        <v>75516</v>
      </c>
    </row>
    <row r="156" spans="1:33">
      <c r="A156" s="166">
        <v>9028</v>
      </c>
      <c r="B156" s="167" t="s">
        <v>147</v>
      </c>
      <c r="C156" s="123">
        <f>VLOOKUP($A156,'Change in Proportion Calc'!$A$5:$P$319,12,FALSE)</f>
        <v>-8348</v>
      </c>
      <c r="D156" s="123">
        <f>VLOOKUP($A156,'Change in Proportion Calc'!$A$5:$P$319,13,FALSE)</f>
        <v>-8348</v>
      </c>
      <c r="E156" s="123">
        <f>VLOOKUP($A156,'Change in Proportion Calc'!$A$5:$P$319,13,FALSE)</f>
        <v>-8348</v>
      </c>
      <c r="F156" s="123">
        <f>VLOOKUP($A156,'Change in Proportion Calc'!$A$5:$P$319,13,FALSE)</f>
        <v>-8348</v>
      </c>
      <c r="G156" s="123">
        <f>VLOOKUP($A156,'Change in Proportion Calc'!$A$5:$P$319,16,FALSE)</f>
        <v>-7428</v>
      </c>
      <c r="H156" s="167"/>
      <c r="I156" s="123">
        <v>-13525</v>
      </c>
      <c r="J156" s="123">
        <v>-13525</v>
      </c>
      <c r="K156" s="123">
        <v>-13525</v>
      </c>
      <c r="L156" s="123">
        <v>-13525</v>
      </c>
      <c r="M156" s="123">
        <v>-13256</v>
      </c>
      <c r="N156" s="167"/>
      <c r="O156" s="84">
        <v>3778</v>
      </c>
      <c r="P156" s="84">
        <v>3778</v>
      </c>
      <c r="Q156" s="84">
        <v>3778</v>
      </c>
      <c r="R156" s="85">
        <v>3704</v>
      </c>
      <c r="S156" s="167"/>
      <c r="T156" s="84">
        <v>-679</v>
      </c>
      <c r="U156" s="84">
        <v>-679</v>
      </c>
      <c r="V156" s="85">
        <v>-435</v>
      </c>
      <c r="X156" s="84">
        <v>-4765</v>
      </c>
      <c r="Y156" s="84">
        <v>-3433</v>
      </c>
      <c r="AA156" s="85">
        <f>VLOOKUP(A156,'Change in Proportion Calc'!$A$5:$H$319,8,FALSE)+I156+O156+T156+X156</f>
        <v>-23539</v>
      </c>
      <c r="AC156" s="84">
        <f t="shared" si="6"/>
        <v>11260</v>
      </c>
      <c r="AD156" s="84">
        <f t="shared" si="7"/>
        <v>99198</v>
      </c>
      <c r="AF156" s="84">
        <f>VLOOKUP(A156,'OPEB Amounts_Report'!$A$10:$G$324,6,FALSE)</f>
        <v>135792</v>
      </c>
      <c r="AG156" s="85">
        <f t="shared" si="8"/>
        <v>-124532</v>
      </c>
    </row>
    <row r="157" spans="1:33">
      <c r="A157" s="164">
        <v>17424</v>
      </c>
      <c r="B157" s="168" t="s">
        <v>148</v>
      </c>
      <c r="C157" s="123">
        <f>VLOOKUP($A157,'Change in Proportion Calc'!$A$5:$P$319,12,FALSE)</f>
        <v>-5810</v>
      </c>
      <c r="D157" s="123">
        <f>VLOOKUP($A157,'Change in Proportion Calc'!$A$5:$P$319,13,FALSE)</f>
        <v>-5810</v>
      </c>
      <c r="E157" s="123">
        <f>VLOOKUP($A157,'Change in Proportion Calc'!$A$5:$P$319,13,FALSE)</f>
        <v>-5810</v>
      </c>
      <c r="F157" s="123">
        <f>VLOOKUP($A157,'Change in Proportion Calc'!$A$5:$P$319,13,FALSE)</f>
        <v>-5810</v>
      </c>
      <c r="G157" s="123">
        <f>VLOOKUP($A157,'Change in Proportion Calc'!$A$5:$P$319,16,FALSE)</f>
        <v>-5172</v>
      </c>
      <c r="H157" s="167"/>
      <c r="I157" s="123">
        <v>9233</v>
      </c>
      <c r="J157" s="123">
        <v>9233</v>
      </c>
      <c r="K157" s="123">
        <v>9233</v>
      </c>
      <c r="L157" s="123">
        <v>9233</v>
      </c>
      <c r="M157" s="123">
        <v>9047</v>
      </c>
      <c r="N157" s="167"/>
      <c r="O157" s="84">
        <v>34262</v>
      </c>
      <c r="P157" s="84">
        <v>34262</v>
      </c>
      <c r="Q157" s="84">
        <v>34262</v>
      </c>
      <c r="R157" s="85">
        <v>33575</v>
      </c>
      <c r="S157" s="167"/>
      <c r="T157" s="84">
        <v>7664</v>
      </c>
      <c r="U157" s="84">
        <v>7664</v>
      </c>
      <c r="V157" s="85">
        <v>4907</v>
      </c>
      <c r="X157" s="84">
        <v>-38514</v>
      </c>
      <c r="Y157" s="84">
        <v>-27728</v>
      </c>
      <c r="AA157" s="85">
        <f>VLOOKUP(A157,'Change in Proportion Calc'!$A$5:$H$319,8,FALSE)+I157+O157+T157+X157</f>
        <v>6835</v>
      </c>
      <c r="AC157" s="84">
        <f t="shared" si="6"/>
        <v>151416</v>
      </c>
      <c r="AD157" s="84">
        <f t="shared" si="7"/>
        <v>56140</v>
      </c>
      <c r="AF157" s="84">
        <f>VLOOKUP(A157,'OPEB Amounts_Report'!$A$10:$G$324,6,FALSE)</f>
        <v>250817</v>
      </c>
      <c r="AG157" s="85">
        <f t="shared" si="8"/>
        <v>-99401</v>
      </c>
    </row>
    <row r="158" spans="1:33">
      <c r="A158" s="209">
        <v>3200</v>
      </c>
      <c r="B158" s="210" t="s">
        <v>149</v>
      </c>
      <c r="C158" s="123">
        <f>VLOOKUP($A158,'Change in Proportion Calc'!$A$5:$P$319,12,FALSE)</f>
        <v>-24235</v>
      </c>
      <c r="D158" s="123">
        <f>VLOOKUP($A158,'Change in Proportion Calc'!$A$5:$P$319,13,FALSE)</f>
        <v>-24235</v>
      </c>
      <c r="E158" s="123">
        <f>VLOOKUP($A158,'Change in Proportion Calc'!$A$5:$P$319,13,FALSE)</f>
        <v>-24235</v>
      </c>
      <c r="F158" s="123">
        <f>VLOOKUP($A158,'Change in Proportion Calc'!$A$5:$P$319,13,FALSE)</f>
        <v>-24235</v>
      </c>
      <c r="G158" s="123">
        <f>VLOOKUP($A158,'Change in Proportion Calc'!$A$5:$P$319,16,FALSE)</f>
        <v>-21567</v>
      </c>
      <c r="H158" s="167"/>
      <c r="I158" s="123">
        <v>-16036</v>
      </c>
      <c r="J158" s="123">
        <v>-16036</v>
      </c>
      <c r="K158" s="123">
        <v>-16036</v>
      </c>
      <c r="L158" s="123">
        <v>-16036</v>
      </c>
      <c r="M158" s="123">
        <v>-15715</v>
      </c>
      <c r="N158" s="167"/>
      <c r="O158" s="84">
        <v>-137391</v>
      </c>
      <c r="P158" s="84">
        <v>-137391</v>
      </c>
      <c r="Q158" s="84">
        <v>-137391</v>
      </c>
      <c r="R158" s="85">
        <v>-134641</v>
      </c>
      <c r="S158" s="167"/>
      <c r="T158" s="84">
        <v>-47636</v>
      </c>
      <c r="U158" s="84">
        <v>-47636</v>
      </c>
      <c r="V158" s="85">
        <v>-30489</v>
      </c>
      <c r="X158" s="84">
        <v>-252089</v>
      </c>
      <c r="Y158" s="84">
        <v>-181503</v>
      </c>
      <c r="AA158" s="85">
        <f>VLOOKUP(A158,'Change in Proportion Calc'!$A$5:$H$319,8,FALSE)+I158+O158+T158+X158</f>
        <v>-477386</v>
      </c>
      <c r="AC158" s="84">
        <f t="shared" si="6"/>
        <v>0</v>
      </c>
      <c r="AD158" s="84">
        <f t="shared" si="7"/>
        <v>851381</v>
      </c>
      <c r="AF158" s="84">
        <f>VLOOKUP(A158,'OPEB Amounts_Report'!$A$10:$G$324,6,FALSE)</f>
        <v>1003352</v>
      </c>
      <c r="AG158" s="85">
        <f t="shared" si="8"/>
        <v>-1003352</v>
      </c>
    </row>
    <row r="159" spans="1:33">
      <c r="A159" s="164">
        <v>2365</v>
      </c>
      <c r="B159" s="168" t="s">
        <v>150</v>
      </c>
      <c r="C159" s="123">
        <f>VLOOKUP($A159,'Change in Proportion Calc'!$A$5:$P$319,12,FALSE)</f>
        <v>-30846</v>
      </c>
      <c r="D159" s="123">
        <f>VLOOKUP($A159,'Change in Proportion Calc'!$A$5:$P$319,13,FALSE)</f>
        <v>-30846</v>
      </c>
      <c r="E159" s="123">
        <f>VLOOKUP($A159,'Change in Proportion Calc'!$A$5:$P$319,13,FALSE)</f>
        <v>-30846</v>
      </c>
      <c r="F159" s="123">
        <f>VLOOKUP($A159,'Change in Proportion Calc'!$A$5:$P$319,13,FALSE)</f>
        <v>-30846</v>
      </c>
      <c r="G159" s="123">
        <f>VLOOKUP($A159,'Change in Proportion Calc'!$A$5:$P$319,16,FALSE)</f>
        <v>-27455</v>
      </c>
      <c r="H159" s="167"/>
      <c r="I159" s="123">
        <v>-24945</v>
      </c>
      <c r="J159" s="123">
        <v>-24945</v>
      </c>
      <c r="K159" s="123">
        <v>-24945</v>
      </c>
      <c r="L159" s="123">
        <v>-24945</v>
      </c>
      <c r="M159" s="123">
        <v>-24445</v>
      </c>
      <c r="N159" s="167"/>
      <c r="O159" s="84">
        <v>-13310</v>
      </c>
      <c r="P159" s="84">
        <v>-13310</v>
      </c>
      <c r="Q159" s="84">
        <v>-13310</v>
      </c>
      <c r="R159" s="85">
        <v>-13042</v>
      </c>
      <c r="S159" s="167"/>
      <c r="T159" s="84">
        <v>37741</v>
      </c>
      <c r="U159" s="84">
        <v>37741</v>
      </c>
      <c r="V159" s="85">
        <v>24152</v>
      </c>
      <c r="X159" s="84">
        <v>5252</v>
      </c>
      <c r="Y159" s="84">
        <v>3781</v>
      </c>
      <c r="AA159" s="85">
        <f>VLOOKUP(A159,'Change in Proportion Calc'!$A$5:$H$319,8,FALSE)+I159+O159+T159+X159</f>
        <v>-26109</v>
      </c>
      <c r="AC159" s="84">
        <f t="shared" si="6"/>
        <v>65674</v>
      </c>
      <c r="AD159" s="84">
        <f t="shared" si="7"/>
        <v>289781</v>
      </c>
      <c r="AF159" s="84">
        <f>VLOOKUP(A159,'OPEB Amounts_Report'!$A$10:$G$324,6,FALSE)</f>
        <v>143007</v>
      </c>
      <c r="AG159" s="85">
        <f t="shared" si="8"/>
        <v>-77333</v>
      </c>
    </row>
    <row r="160" spans="1:33">
      <c r="A160" s="166">
        <v>5014</v>
      </c>
      <c r="B160" s="167" t="s">
        <v>151</v>
      </c>
      <c r="C160" s="123">
        <f>VLOOKUP($A160,'Change in Proportion Calc'!$A$5:$P$319,12,FALSE)</f>
        <v>8900</v>
      </c>
      <c r="D160" s="123">
        <f>VLOOKUP($A160,'Change in Proportion Calc'!$A$5:$P$319,13,FALSE)</f>
        <v>8900</v>
      </c>
      <c r="E160" s="123">
        <f>VLOOKUP($A160,'Change in Proportion Calc'!$A$5:$P$319,13,FALSE)</f>
        <v>8900</v>
      </c>
      <c r="F160" s="123">
        <f>VLOOKUP($A160,'Change in Proportion Calc'!$A$5:$P$319,13,FALSE)</f>
        <v>8900</v>
      </c>
      <c r="G160" s="123">
        <f>VLOOKUP($A160,'Change in Proportion Calc'!$A$5:$P$319,16,FALSE)</f>
        <v>7920</v>
      </c>
      <c r="H160" s="167"/>
      <c r="I160" s="123">
        <v>-6641</v>
      </c>
      <c r="J160" s="123">
        <v>-6641</v>
      </c>
      <c r="K160" s="123">
        <v>-6641</v>
      </c>
      <c r="L160" s="123">
        <v>-6641</v>
      </c>
      <c r="M160" s="123">
        <v>-6509</v>
      </c>
      <c r="N160" s="167"/>
      <c r="O160" s="84">
        <v>7728</v>
      </c>
      <c r="P160" s="84">
        <v>7728</v>
      </c>
      <c r="Q160" s="84">
        <v>7728</v>
      </c>
      <c r="R160" s="85">
        <v>7575</v>
      </c>
      <c r="S160" s="167"/>
      <c r="T160" s="84">
        <v>-1649</v>
      </c>
      <c r="U160" s="84">
        <v>-1649</v>
      </c>
      <c r="V160" s="85">
        <v>-1057</v>
      </c>
      <c r="X160" s="84">
        <v>9920</v>
      </c>
      <c r="Y160" s="84">
        <v>7143</v>
      </c>
      <c r="AA160" s="85">
        <f>VLOOKUP(A160,'Change in Proportion Calc'!$A$5:$H$319,8,FALSE)+I160+O160+T160+X160</f>
        <v>18258</v>
      </c>
      <c r="AC160" s="84">
        <f t="shared" si="6"/>
        <v>73694</v>
      </c>
      <c r="AD160" s="84">
        <f t="shared" si="7"/>
        <v>29138</v>
      </c>
      <c r="AF160" s="84">
        <f>VLOOKUP(A160,'OPEB Amounts_Report'!$A$10:$G$324,6,FALSE)</f>
        <v>200520</v>
      </c>
      <c r="AG160" s="85">
        <f t="shared" si="8"/>
        <v>-126826</v>
      </c>
    </row>
    <row r="161" spans="1:33">
      <c r="A161" s="164">
        <v>17127</v>
      </c>
      <c r="B161" s="168" t="s">
        <v>152</v>
      </c>
      <c r="C161" s="123">
        <f>VLOOKUP($A161,'Change in Proportion Calc'!$A$5:$P$319,12,FALSE)</f>
        <v>4514</v>
      </c>
      <c r="D161" s="123">
        <f>VLOOKUP($A161,'Change in Proportion Calc'!$A$5:$P$319,13,FALSE)</f>
        <v>4514</v>
      </c>
      <c r="E161" s="123">
        <f>VLOOKUP($A161,'Change in Proportion Calc'!$A$5:$P$319,13,FALSE)</f>
        <v>4514</v>
      </c>
      <c r="F161" s="123">
        <f>VLOOKUP($A161,'Change in Proportion Calc'!$A$5:$P$319,13,FALSE)</f>
        <v>4514</v>
      </c>
      <c r="G161" s="123">
        <f>VLOOKUP($A161,'Change in Proportion Calc'!$A$5:$P$319,16,FALSE)</f>
        <v>4017</v>
      </c>
      <c r="H161" s="167"/>
      <c r="I161" s="123">
        <v>-35716</v>
      </c>
      <c r="J161" s="123">
        <v>-35716</v>
      </c>
      <c r="K161" s="123">
        <v>-35716</v>
      </c>
      <c r="L161" s="123">
        <v>-35716</v>
      </c>
      <c r="M161" s="123">
        <v>-35004</v>
      </c>
      <c r="N161" s="167"/>
      <c r="O161" s="84">
        <v>113777</v>
      </c>
      <c r="P161" s="84">
        <v>113777</v>
      </c>
      <c r="Q161" s="84">
        <v>113777</v>
      </c>
      <c r="R161" s="85">
        <v>111499</v>
      </c>
      <c r="S161" s="167"/>
      <c r="T161" s="84">
        <v>-252056</v>
      </c>
      <c r="U161" s="84">
        <v>-252056</v>
      </c>
      <c r="V161" s="85">
        <v>-161317</v>
      </c>
      <c r="X161" s="84">
        <v>3112</v>
      </c>
      <c r="Y161" s="84">
        <v>2242</v>
      </c>
      <c r="AA161" s="85">
        <f>VLOOKUP(A161,'Change in Proportion Calc'!$A$5:$H$319,8,FALSE)+I161+O161+T161+X161</f>
        <v>-166369</v>
      </c>
      <c r="AC161" s="84">
        <f t="shared" si="6"/>
        <v>363368</v>
      </c>
      <c r="AD161" s="84">
        <f t="shared" si="7"/>
        <v>555525</v>
      </c>
      <c r="AF161" s="84">
        <f>VLOOKUP(A161,'OPEB Amounts_Report'!$A$10:$G$324,6,FALSE)</f>
        <v>209901</v>
      </c>
      <c r="AG161" s="85">
        <f t="shared" si="8"/>
        <v>153467</v>
      </c>
    </row>
    <row r="162" spans="1:33">
      <c r="A162" s="166">
        <v>10141</v>
      </c>
      <c r="B162" s="167" t="s">
        <v>153</v>
      </c>
      <c r="C162" s="123">
        <f>VLOOKUP($A162,'Change in Proportion Calc'!$A$5:$P$319,12,FALSE)</f>
        <v>125538</v>
      </c>
      <c r="D162" s="123">
        <f>VLOOKUP($A162,'Change in Proportion Calc'!$A$5:$P$319,13,FALSE)</f>
        <v>125538</v>
      </c>
      <c r="E162" s="123">
        <f>VLOOKUP($A162,'Change in Proportion Calc'!$A$5:$P$319,13,FALSE)</f>
        <v>125538</v>
      </c>
      <c r="F162" s="123">
        <f>VLOOKUP($A162,'Change in Proportion Calc'!$A$5:$P$319,13,FALSE)</f>
        <v>125538</v>
      </c>
      <c r="G162" s="123">
        <f>VLOOKUP($A162,'Change in Proportion Calc'!$A$5:$P$319,16,FALSE)</f>
        <v>111729</v>
      </c>
      <c r="H162" s="167"/>
      <c r="I162" s="123">
        <v>-26807</v>
      </c>
      <c r="J162" s="123">
        <v>-26807</v>
      </c>
      <c r="K162" s="123">
        <v>-26807</v>
      </c>
      <c r="L162" s="123">
        <v>-26807</v>
      </c>
      <c r="M162" s="123">
        <v>-26273</v>
      </c>
      <c r="N162" s="167"/>
      <c r="O162" s="84">
        <v>-55128</v>
      </c>
      <c r="P162" s="84">
        <v>-55128</v>
      </c>
      <c r="Q162" s="84">
        <v>-55128</v>
      </c>
      <c r="R162" s="85">
        <v>-54025</v>
      </c>
      <c r="S162" s="167"/>
      <c r="T162" s="84">
        <v>-4269</v>
      </c>
      <c r="U162" s="84">
        <v>-4269</v>
      </c>
      <c r="V162" s="85">
        <v>-2731</v>
      </c>
      <c r="X162" s="84">
        <v>3210</v>
      </c>
      <c r="Y162" s="84">
        <v>2309</v>
      </c>
      <c r="AA162" s="85">
        <f>VLOOKUP(A162,'Change in Proportion Calc'!$A$5:$H$319,8,FALSE)+I162+O162+T162+X162</f>
        <v>42544</v>
      </c>
      <c r="AC162" s="84">
        <f t="shared" si="6"/>
        <v>616190</v>
      </c>
      <c r="AD162" s="84">
        <f t="shared" si="7"/>
        <v>277975</v>
      </c>
      <c r="AF162" s="84">
        <f>VLOOKUP(A162,'OPEB Amounts_Report'!$A$10:$G$324,6,FALSE)</f>
        <v>388551</v>
      </c>
      <c r="AG162" s="85">
        <f t="shared" si="8"/>
        <v>227639</v>
      </c>
    </row>
    <row r="163" spans="1:33">
      <c r="A163" s="164">
        <v>4570</v>
      </c>
      <c r="B163" s="168" t="s">
        <v>412</v>
      </c>
      <c r="C163" s="123">
        <f>VLOOKUP($A163,'Change in Proportion Calc'!$A$5:$P$319,12,FALSE)</f>
        <v>53888</v>
      </c>
      <c r="D163" s="123">
        <f>VLOOKUP($A163,'Change in Proportion Calc'!$A$5:$P$319,13,FALSE)</f>
        <v>53888</v>
      </c>
      <c r="E163" s="123">
        <f>VLOOKUP($A163,'Change in Proportion Calc'!$A$5:$P$319,13,FALSE)</f>
        <v>53888</v>
      </c>
      <c r="F163" s="123">
        <f>VLOOKUP($A163,'Change in Proportion Calc'!$A$5:$P$319,13,FALSE)</f>
        <v>53888</v>
      </c>
      <c r="G163" s="123">
        <f>VLOOKUP($A163,'Change in Proportion Calc'!$A$5:$P$319,16,FALSE)</f>
        <v>47958</v>
      </c>
      <c r="H163" s="167"/>
      <c r="I163" s="123">
        <v>57016</v>
      </c>
      <c r="J163" s="123">
        <v>57016</v>
      </c>
      <c r="K163" s="123">
        <v>57016</v>
      </c>
      <c r="L163" s="123">
        <v>57016</v>
      </c>
      <c r="M163" s="123">
        <v>55878</v>
      </c>
      <c r="N163" s="167"/>
      <c r="O163" s="84">
        <v>-50319</v>
      </c>
      <c r="P163" s="84">
        <v>-50319</v>
      </c>
      <c r="Q163" s="84">
        <v>-50319</v>
      </c>
      <c r="R163" s="85">
        <v>-49314</v>
      </c>
      <c r="S163" s="167"/>
      <c r="T163" s="84">
        <v>1413766</v>
      </c>
      <c r="U163" s="84">
        <v>1413766</v>
      </c>
      <c r="V163" s="85">
        <v>904808</v>
      </c>
      <c r="X163" s="84">
        <v>0</v>
      </c>
      <c r="Y163" s="84">
        <v>0</v>
      </c>
      <c r="AA163" s="85">
        <f>VLOOKUP(A163,'Change in Proportion Calc'!$A$5:$H$319,8,FALSE)+I163+O163+T163+X163</f>
        <v>1474351</v>
      </c>
      <c r="AC163" s="84">
        <f t="shared" si="6"/>
        <v>2809010</v>
      </c>
      <c r="AD163" s="84">
        <f t="shared" si="7"/>
        <v>149952</v>
      </c>
      <c r="AF163" s="84">
        <f>VLOOKUP(A163,'OPEB Amounts_Report'!$A$10:$G$324,6,FALSE)</f>
        <v>760216</v>
      </c>
      <c r="AG163" s="85">
        <f t="shared" si="8"/>
        <v>2048794</v>
      </c>
    </row>
    <row r="164" spans="1:33">
      <c r="A164" s="166">
        <v>13369</v>
      </c>
      <c r="B164" s="167" t="s">
        <v>154</v>
      </c>
      <c r="C164" s="123">
        <f>VLOOKUP($A164,'Change in Proportion Calc'!$A$5:$P$319,12,FALSE)</f>
        <v>8280</v>
      </c>
      <c r="D164" s="123">
        <f>VLOOKUP($A164,'Change in Proportion Calc'!$A$5:$P$319,13,FALSE)</f>
        <v>8280</v>
      </c>
      <c r="E164" s="123">
        <f>VLOOKUP($A164,'Change in Proportion Calc'!$A$5:$P$319,13,FALSE)</f>
        <v>8280</v>
      </c>
      <c r="F164" s="123">
        <f>VLOOKUP($A164,'Change in Proportion Calc'!$A$5:$P$319,13,FALSE)</f>
        <v>8280</v>
      </c>
      <c r="G164" s="123">
        <f>VLOOKUP($A164,'Change in Proportion Calc'!$A$5:$P$319,16,FALSE)</f>
        <v>7369</v>
      </c>
      <c r="H164" s="167"/>
      <c r="I164" s="123">
        <v>-13930</v>
      </c>
      <c r="J164" s="123">
        <v>-13930</v>
      </c>
      <c r="K164" s="123">
        <v>-13930</v>
      </c>
      <c r="L164" s="123">
        <v>-13930</v>
      </c>
      <c r="M164" s="123">
        <v>-13653</v>
      </c>
      <c r="N164" s="167"/>
      <c r="O164" s="84">
        <v>17689</v>
      </c>
      <c r="P164" s="84">
        <v>17689</v>
      </c>
      <c r="Q164" s="84">
        <v>17689</v>
      </c>
      <c r="R164" s="85">
        <v>17335</v>
      </c>
      <c r="S164" s="167"/>
      <c r="T164" s="84">
        <v>-1746</v>
      </c>
      <c r="U164" s="84">
        <v>-1746</v>
      </c>
      <c r="V164" s="85">
        <v>-1119</v>
      </c>
      <c r="X164" s="84">
        <v>3015</v>
      </c>
      <c r="Y164" s="84">
        <v>2171</v>
      </c>
      <c r="AA164" s="85">
        <f>VLOOKUP(A164,'Change in Proportion Calc'!$A$5:$H$319,8,FALSE)+I164+O164+T164+X164</f>
        <v>13308</v>
      </c>
      <c r="AC164" s="84">
        <f t="shared" si="6"/>
        <v>95373</v>
      </c>
      <c r="AD164" s="84">
        <f t="shared" si="7"/>
        <v>58308</v>
      </c>
      <c r="AF164" s="84">
        <f>VLOOKUP(A164,'OPEB Amounts_Report'!$A$10:$G$324,6,FALSE)</f>
        <v>71127</v>
      </c>
      <c r="AG164" s="85">
        <f t="shared" si="8"/>
        <v>24246</v>
      </c>
    </row>
    <row r="165" spans="1:33">
      <c r="A165" s="164">
        <v>2425</v>
      </c>
      <c r="B165" s="168" t="s">
        <v>155</v>
      </c>
      <c r="C165" s="123">
        <f>VLOOKUP($A165,'Change in Proportion Calc'!$A$5:$P$319,12,FALSE)</f>
        <v>583247</v>
      </c>
      <c r="D165" s="123">
        <f>VLOOKUP($A165,'Change in Proportion Calc'!$A$5:$P$319,13,FALSE)</f>
        <v>583247</v>
      </c>
      <c r="E165" s="123">
        <f>VLOOKUP($A165,'Change in Proportion Calc'!$A$5:$P$319,13,FALSE)</f>
        <v>583247</v>
      </c>
      <c r="F165" s="123">
        <f>VLOOKUP($A165,'Change in Proportion Calc'!$A$5:$P$319,13,FALSE)</f>
        <v>583247</v>
      </c>
      <c r="G165" s="123">
        <f>VLOOKUP($A165,'Change in Proportion Calc'!$A$5:$P$319,16,FALSE)</f>
        <v>519089</v>
      </c>
      <c r="H165" s="167"/>
      <c r="I165" s="123">
        <v>259895</v>
      </c>
      <c r="J165" s="123">
        <v>259895</v>
      </c>
      <c r="K165" s="123">
        <v>259895</v>
      </c>
      <c r="L165" s="123">
        <v>259895</v>
      </c>
      <c r="M165" s="123">
        <v>254698</v>
      </c>
      <c r="N165" s="167"/>
      <c r="O165" s="84">
        <v>235625</v>
      </c>
      <c r="P165" s="84">
        <v>235625</v>
      </c>
      <c r="Q165" s="84">
        <v>235625</v>
      </c>
      <c r="R165" s="85">
        <v>230911</v>
      </c>
      <c r="S165" s="167"/>
      <c r="T165" s="84">
        <v>333650</v>
      </c>
      <c r="U165" s="84">
        <v>333650</v>
      </c>
      <c r="V165" s="85">
        <v>213534</v>
      </c>
      <c r="X165" s="84">
        <v>-18576</v>
      </c>
      <c r="Y165" s="84">
        <v>-13375</v>
      </c>
      <c r="AA165" s="85">
        <f>VLOOKUP(A165,'Change in Proportion Calc'!$A$5:$H$319,8,FALSE)+I165+O165+T165+X165</f>
        <v>1393841</v>
      </c>
      <c r="AC165" s="84">
        <f t="shared" si="6"/>
        <v>5135805</v>
      </c>
      <c r="AD165" s="84">
        <f t="shared" si="7"/>
        <v>13375</v>
      </c>
      <c r="AF165" s="84">
        <f>VLOOKUP(A165,'OPEB Amounts_Report'!$A$10:$G$324,6,FALSE)</f>
        <v>1245216</v>
      </c>
      <c r="AG165" s="85">
        <f t="shared" si="8"/>
        <v>3890589</v>
      </c>
    </row>
    <row r="166" spans="1:33">
      <c r="A166" s="166">
        <v>1306</v>
      </c>
      <c r="B166" s="167" t="s">
        <v>156</v>
      </c>
      <c r="C166" s="123">
        <f>VLOOKUP($A166,'Change in Proportion Calc'!$A$5:$P$319,12,FALSE)</f>
        <v>31858</v>
      </c>
      <c r="D166" s="123">
        <f>VLOOKUP($A166,'Change in Proportion Calc'!$A$5:$P$319,13,FALSE)</f>
        <v>31858</v>
      </c>
      <c r="E166" s="123">
        <f>VLOOKUP($A166,'Change in Proportion Calc'!$A$5:$P$319,13,FALSE)</f>
        <v>31858</v>
      </c>
      <c r="F166" s="123">
        <f>VLOOKUP($A166,'Change in Proportion Calc'!$A$5:$P$319,13,FALSE)</f>
        <v>31858</v>
      </c>
      <c r="G166" s="123">
        <f>VLOOKUP($A166,'Change in Proportion Calc'!$A$5:$P$319,16,FALSE)</f>
        <v>28352</v>
      </c>
      <c r="H166" s="167"/>
      <c r="I166" s="123">
        <v>17251</v>
      </c>
      <c r="J166" s="123">
        <v>17251</v>
      </c>
      <c r="K166" s="123">
        <v>17251</v>
      </c>
      <c r="L166" s="123">
        <v>17251</v>
      </c>
      <c r="M166" s="123">
        <v>16905</v>
      </c>
      <c r="N166" s="167"/>
      <c r="O166" s="84">
        <v>13653</v>
      </c>
      <c r="P166" s="84">
        <v>13653</v>
      </c>
      <c r="Q166" s="84">
        <v>13653</v>
      </c>
      <c r="R166" s="85">
        <v>13381</v>
      </c>
      <c r="S166" s="167"/>
      <c r="T166" s="84">
        <v>26874</v>
      </c>
      <c r="U166" s="84">
        <v>26874</v>
      </c>
      <c r="V166" s="85">
        <v>17201</v>
      </c>
      <c r="X166" s="84">
        <v>35499</v>
      </c>
      <c r="Y166" s="84">
        <v>25557</v>
      </c>
      <c r="AA166" s="85">
        <f>VLOOKUP(A166,'Change in Proportion Calc'!$A$5:$H$319,8,FALSE)+I166+O166+T166+X166</f>
        <v>125135</v>
      </c>
      <c r="AC166" s="84">
        <f t="shared" si="6"/>
        <v>334761</v>
      </c>
      <c r="AD166" s="84">
        <f t="shared" si="7"/>
        <v>0</v>
      </c>
      <c r="AF166" s="84">
        <f>VLOOKUP(A166,'OPEB Amounts_Report'!$A$10:$G$324,6,FALSE)</f>
        <v>254425</v>
      </c>
      <c r="AG166" s="85">
        <f t="shared" si="8"/>
        <v>80336</v>
      </c>
    </row>
    <row r="167" spans="1:33">
      <c r="A167" s="164">
        <v>2351</v>
      </c>
      <c r="B167" s="168" t="s">
        <v>157</v>
      </c>
      <c r="C167" s="123">
        <f>VLOOKUP($A167,'Change in Proportion Calc'!$A$5:$P$319,12,FALSE)</f>
        <v>36309</v>
      </c>
      <c r="D167" s="123">
        <f>VLOOKUP($A167,'Change in Proportion Calc'!$A$5:$P$319,13,FALSE)</f>
        <v>36309</v>
      </c>
      <c r="E167" s="123">
        <f>VLOOKUP($A167,'Change in Proportion Calc'!$A$5:$P$319,13,FALSE)</f>
        <v>36309</v>
      </c>
      <c r="F167" s="123">
        <f>VLOOKUP($A167,'Change in Proportion Calc'!$A$5:$P$319,13,FALSE)</f>
        <v>36309</v>
      </c>
      <c r="G167" s="123">
        <f>VLOOKUP($A167,'Change in Proportion Calc'!$A$5:$P$319,16,FALSE)</f>
        <v>32313</v>
      </c>
      <c r="H167" s="167"/>
      <c r="I167" s="123">
        <v>-5102</v>
      </c>
      <c r="J167" s="123">
        <v>-5102</v>
      </c>
      <c r="K167" s="123">
        <v>-5102</v>
      </c>
      <c r="L167" s="123">
        <v>-5102</v>
      </c>
      <c r="M167" s="123">
        <v>-5002</v>
      </c>
      <c r="N167" s="167"/>
      <c r="O167" s="84">
        <v>24215</v>
      </c>
      <c r="P167" s="84">
        <v>24215</v>
      </c>
      <c r="Q167" s="84">
        <v>24215</v>
      </c>
      <c r="R167" s="85">
        <v>23731</v>
      </c>
      <c r="S167" s="167"/>
      <c r="T167" s="84">
        <v>-582</v>
      </c>
      <c r="U167" s="84">
        <v>-582</v>
      </c>
      <c r="V167" s="85">
        <v>-373</v>
      </c>
      <c r="X167" s="84">
        <v>-7781</v>
      </c>
      <c r="Y167" s="84">
        <v>-5600</v>
      </c>
      <c r="AA167" s="85">
        <f>VLOOKUP(A167,'Change in Proportion Calc'!$A$5:$H$319,8,FALSE)+I167+O167+T167+X167</f>
        <v>47059</v>
      </c>
      <c r="AC167" s="84">
        <f t="shared" si="6"/>
        <v>249710</v>
      </c>
      <c r="AD167" s="84">
        <f t="shared" si="7"/>
        <v>26863</v>
      </c>
      <c r="AF167" s="84">
        <f>VLOOKUP(A167,'OPEB Amounts_Report'!$A$10:$G$324,6,FALSE)</f>
        <v>209031</v>
      </c>
      <c r="AG167" s="85">
        <f t="shared" si="8"/>
        <v>40679</v>
      </c>
    </row>
    <row r="168" spans="1:33">
      <c r="A168" s="166">
        <v>2334</v>
      </c>
      <c r="B168" s="167" t="s">
        <v>158</v>
      </c>
      <c r="C168" s="123">
        <f>VLOOKUP($A168,'Change in Proportion Calc'!$A$5:$P$319,12,FALSE)</f>
        <v>27937</v>
      </c>
      <c r="D168" s="123">
        <f>VLOOKUP($A168,'Change in Proportion Calc'!$A$5:$P$319,13,FALSE)</f>
        <v>27937</v>
      </c>
      <c r="E168" s="123">
        <f>VLOOKUP($A168,'Change in Proportion Calc'!$A$5:$P$319,13,FALSE)</f>
        <v>27937</v>
      </c>
      <c r="F168" s="123">
        <f>VLOOKUP($A168,'Change in Proportion Calc'!$A$5:$P$319,13,FALSE)</f>
        <v>27937</v>
      </c>
      <c r="G168" s="123">
        <f>VLOOKUP($A168,'Change in Proportion Calc'!$A$5:$P$319,16,FALSE)</f>
        <v>24866</v>
      </c>
      <c r="H168" s="167"/>
      <c r="I168" s="123">
        <v>-8828</v>
      </c>
      <c r="J168" s="123">
        <v>-8828</v>
      </c>
      <c r="K168" s="123">
        <v>-8828</v>
      </c>
      <c r="L168" s="123">
        <v>-8828</v>
      </c>
      <c r="M168" s="123">
        <v>-8651</v>
      </c>
      <c r="N168" s="167"/>
      <c r="O168" s="84">
        <v>6354</v>
      </c>
      <c r="P168" s="84">
        <v>6354</v>
      </c>
      <c r="Q168" s="84">
        <v>6354</v>
      </c>
      <c r="R168" s="85">
        <v>6229</v>
      </c>
      <c r="S168" s="167"/>
      <c r="T168" s="84">
        <v>18240</v>
      </c>
      <c r="U168" s="84">
        <v>18240</v>
      </c>
      <c r="V168" s="85">
        <v>11672</v>
      </c>
      <c r="X168" s="84">
        <v>1459</v>
      </c>
      <c r="Y168" s="84">
        <v>1050</v>
      </c>
      <c r="AA168" s="85">
        <f>VLOOKUP(A168,'Change in Proportion Calc'!$A$5:$H$319,8,FALSE)+I168+O168+T168+X168</f>
        <v>45162</v>
      </c>
      <c r="AC168" s="84">
        <f t="shared" si="6"/>
        <v>186513</v>
      </c>
      <c r="AD168" s="84">
        <f t="shared" si="7"/>
        <v>35135</v>
      </c>
      <c r="AF168" s="84">
        <f>VLOOKUP(A168,'OPEB Amounts_Report'!$A$10:$G$324,6,FALSE)</f>
        <v>151359</v>
      </c>
      <c r="AG168" s="85">
        <f t="shared" si="8"/>
        <v>35154</v>
      </c>
    </row>
    <row r="169" spans="1:33">
      <c r="A169" s="164">
        <v>30089</v>
      </c>
      <c r="B169" s="168" t="s">
        <v>159</v>
      </c>
      <c r="C169" s="123">
        <f>VLOOKUP($A169,'Change in Proportion Calc'!$A$5:$P$319,12,FALSE)</f>
        <v>49319</v>
      </c>
      <c r="D169" s="123">
        <f>VLOOKUP($A169,'Change in Proportion Calc'!$A$5:$P$319,13,FALSE)</f>
        <v>49319</v>
      </c>
      <c r="E169" s="123">
        <f>VLOOKUP($A169,'Change in Proportion Calc'!$A$5:$P$319,13,FALSE)</f>
        <v>49319</v>
      </c>
      <c r="F169" s="123">
        <f>VLOOKUP($A169,'Change in Proportion Calc'!$A$5:$P$319,13,FALSE)</f>
        <v>49319</v>
      </c>
      <c r="G169" s="123">
        <f>VLOOKUP($A169,'Change in Proportion Calc'!$A$5:$P$319,16,FALSE)</f>
        <v>43896</v>
      </c>
      <c r="H169" s="167"/>
      <c r="I169" s="123">
        <v>-17980</v>
      </c>
      <c r="J169" s="123">
        <v>-17980</v>
      </c>
      <c r="K169" s="123">
        <v>-17980</v>
      </c>
      <c r="L169" s="123">
        <v>-17980</v>
      </c>
      <c r="M169" s="123">
        <v>-17618</v>
      </c>
      <c r="N169" s="167"/>
      <c r="O169" s="84">
        <v>-47056</v>
      </c>
      <c r="P169" s="84">
        <v>-47056</v>
      </c>
      <c r="Q169" s="84">
        <v>-47056</v>
      </c>
      <c r="R169" s="85">
        <v>-46116</v>
      </c>
      <c r="S169" s="167"/>
      <c r="T169" s="84">
        <v>26001</v>
      </c>
      <c r="U169" s="84">
        <v>26001</v>
      </c>
      <c r="V169" s="85">
        <v>16642</v>
      </c>
      <c r="X169" s="84">
        <v>-7683</v>
      </c>
      <c r="Y169" s="84">
        <v>-5533</v>
      </c>
      <c r="AA169" s="85">
        <f>VLOOKUP(A169,'Change in Proportion Calc'!$A$5:$H$319,8,FALSE)+I169+O169+T169+X169</f>
        <v>2602</v>
      </c>
      <c r="AC169" s="84">
        <f t="shared" si="6"/>
        <v>283815</v>
      </c>
      <c r="AD169" s="84">
        <f t="shared" si="7"/>
        <v>217319</v>
      </c>
      <c r="AF169" s="84">
        <f>VLOOKUP(A169,'OPEB Amounts_Report'!$A$10:$G$324,6,FALSE)</f>
        <v>437771</v>
      </c>
      <c r="AG169" s="85">
        <f t="shared" si="8"/>
        <v>-153956</v>
      </c>
    </row>
    <row r="170" spans="1:33">
      <c r="A170" s="166">
        <v>9324</v>
      </c>
      <c r="B170" s="167" t="s">
        <v>160</v>
      </c>
      <c r="C170" s="123">
        <f>VLOOKUP($A170,'Change in Proportion Calc'!$A$5:$P$319,12,FALSE)</f>
        <v>-9111</v>
      </c>
      <c r="D170" s="123">
        <f>VLOOKUP($A170,'Change in Proportion Calc'!$A$5:$P$319,13,FALSE)</f>
        <v>-9111</v>
      </c>
      <c r="E170" s="123">
        <f>VLOOKUP($A170,'Change in Proportion Calc'!$A$5:$P$319,13,FALSE)</f>
        <v>-9111</v>
      </c>
      <c r="F170" s="123">
        <f>VLOOKUP($A170,'Change in Proportion Calc'!$A$5:$P$319,13,FALSE)</f>
        <v>-9111</v>
      </c>
      <c r="G170" s="123">
        <f>VLOOKUP($A170,'Change in Proportion Calc'!$A$5:$P$319,16,FALSE)</f>
        <v>-8108</v>
      </c>
      <c r="H170" s="167"/>
      <c r="I170" s="123">
        <v>3483</v>
      </c>
      <c r="J170" s="123">
        <v>3483</v>
      </c>
      <c r="K170" s="123">
        <v>3483</v>
      </c>
      <c r="L170" s="123">
        <v>3483</v>
      </c>
      <c r="M170" s="123">
        <v>3411</v>
      </c>
      <c r="N170" s="167"/>
      <c r="O170" s="84">
        <v>15027</v>
      </c>
      <c r="P170" s="84">
        <v>15027</v>
      </c>
      <c r="Q170" s="84">
        <v>15027</v>
      </c>
      <c r="R170" s="85">
        <v>14727</v>
      </c>
      <c r="S170" s="167"/>
      <c r="T170" s="84">
        <v>9993</v>
      </c>
      <c r="U170" s="84">
        <v>9993</v>
      </c>
      <c r="V170" s="85">
        <v>6395</v>
      </c>
      <c r="X170" s="84">
        <v>-10796</v>
      </c>
      <c r="Y170" s="84">
        <v>-7771</v>
      </c>
      <c r="AA170" s="85">
        <f>VLOOKUP(A170,'Change in Proportion Calc'!$A$5:$H$319,8,FALSE)+I170+O170+T170+X170</f>
        <v>8596</v>
      </c>
      <c r="AC170" s="84">
        <f t="shared" si="6"/>
        <v>75029</v>
      </c>
      <c r="AD170" s="84">
        <f t="shared" si="7"/>
        <v>52323</v>
      </c>
      <c r="AF170" s="84">
        <f>VLOOKUP(A170,'OPEB Amounts_Report'!$A$10:$G$324,6,FALSE)</f>
        <v>52521</v>
      </c>
      <c r="AG170" s="85">
        <f t="shared" si="8"/>
        <v>22508</v>
      </c>
    </row>
    <row r="171" spans="1:33">
      <c r="A171" s="164">
        <v>22066</v>
      </c>
      <c r="B171" s="168" t="s">
        <v>161</v>
      </c>
      <c r="C171" s="123">
        <f>VLOOKUP($A171,'Change in Proportion Calc'!$A$5:$P$319,12,FALSE)</f>
        <v>-41746</v>
      </c>
      <c r="D171" s="123">
        <f>VLOOKUP($A171,'Change in Proportion Calc'!$A$5:$P$319,13,FALSE)</f>
        <v>-41746</v>
      </c>
      <c r="E171" s="123">
        <f>VLOOKUP($A171,'Change in Proportion Calc'!$A$5:$P$319,13,FALSE)</f>
        <v>-41746</v>
      </c>
      <c r="F171" s="123">
        <f>VLOOKUP($A171,'Change in Proportion Calc'!$A$5:$P$319,13,FALSE)</f>
        <v>-41746</v>
      </c>
      <c r="G171" s="123">
        <f>VLOOKUP($A171,'Change in Proportion Calc'!$A$5:$P$319,16,FALSE)</f>
        <v>-37155</v>
      </c>
      <c r="H171" s="167"/>
      <c r="I171" s="123">
        <v>92490</v>
      </c>
      <c r="J171" s="123">
        <v>92490</v>
      </c>
      <c r="K171" s="123">
        <v>92490</v>
      </c>
      <c r="L171" s="123">
        <v>92490</v>
      </c>
      <c r="M171" s="123">
        <v>90640</v>
      </c>
      <c r="N171" s="167"/>
      <c r="O171" s="84">
        <v>43879</v>
      </c>
      <c r="P171" s="84">
        <v>43879</v>
      </c>
      <c r="Q171" s="84">
        <v>43879</v>
      </c>
      <c r="R171" s="85">
        <v>43002</v>
      </c>
      <c r="S171" s="167"/>
      <c r="T171" s="84">
        <v>-117394</v>
      </c>
      <c r="U171" s="84">
        <v>-117394</v>
      </c>
      <c r="V171" s="85">
        <v>-75130</v>
      </c>
      <c r="X171" s="84">
        <v>-54269</v>
      </c>
      <c r="Y171" s="84">
        <v>-39074</v>
      </c>
      <c r="AA171" s="85">
        <f>VLOOKUP(A171,'Change in Proportion Calc'!$A$5:$H$319,8,FALSE)+I171+O171+T171+X171</f>
        <v>-77040</v>
      </c>
      <c r="AC171" s="84">
        <f t="shared" si="6"/>
        <v>498870</v>
      </c>
      <c r="AD171" s="84">
        <f t="shared" si="7"/>
        <v>435737</v>
      </c>
      <c r="AF171" s="84">
        <f>VLOOKUP(A171,'OPEB Amounts_Report'!$A$10:$G$324,6,FALSE)</f>
        <v>1533939</v>
      </c>
      <c r="AG171" s="85">
        <f t="shared" si="8"/>
        <v>-1035069</v>
      </c>
    </row>
    <row r="172" spans="1:33">
      <c r="A172" s="166">
        <v>16356</v>
      </c>
      <c r="B172" s="167" t="s">
        <v>162</v>
      </c>
      <c r="C172" s="123">
        <f>VLOOKUP($A172,'Change in Proportion Calc'!$A$5:$P$319,12,FALSE)</f>
        <v>-3748</v>
      </c>
      <c r="D172" s="123">
        <f>VLOOKUP($A172,'Change in Proportion Calc'!$A$5:$P$319,13,FALSE)</f>
        <v>-3748</v>
      </c>
      <c r="E172" s="123">
        <f>VLOOKUP($A172,'Change in Proportion Calc'!$A$5:$P$319,13,FALSE)</f>
        <v>-3748</v>
      </c>
      <c r="F172" s="123">
        <f>VLOOKUP($A172,'Change in Proportion Calc'!$A$5:$P$319,13,FALSE)</f>
        <v>-3748</v>
      </c>
      <c r="G172" s="123">
        <f>VLOOKUP($A172,'Change in Proportion Calc'!$A$5:$P$319,16,FALSE)</f>
        <v>-3338</v>
      </c>
      <c r="H172" s="167"/>
      <c r="I172" s="123">
        <v>11500</v>
      </c>
      <c r="J172" s="123">
        <v>11500</v>
      </c>
      <c r="K172" s="123">
        <v>11500</v>
      </c>
      <c r="L172" s="123">
        <v>11500</v>
      </c>
      <c r="M172" s="123">
        <v>11272</v>
      </c>
      <c r="N172" s="167"/>
      <c r="O172" s="84">
        <v>6698</v>
      </c>
      <c r="P172" s="84">
        <v>6698</v>
      </c>
      <c r="Q172" s="84">
        <v>6698</v>
      </c>
      <c r="R172" s="85">
        <v>6563</v>
      </c>
      <c r="S172" s="167"/>
      <c r="T172" s="84">
        <v>-12128</v>
      </c>
      <c r="U172" s="84">
        <v>-12128</v>
      </c>
      <c r="V172" s="85">
        <v>-7760</v>
      </c>
      <c r="X172" s="84">
        <v>7878</v>
      </c>
      <c r="Y172" s="84">
        <v>5671</v>
      </c>
      <c r="AA172" s="85">
        <f>VLOOKUP(A172,'Change in Proportion Calc'!$A$5:$H$319,8,FALSE)+I172+O172+T172+X172</f>
        <v>10200</v>
      </c>
      <c r="AC172" s="84">
        <f t="shared" si="6"/>
        <v>71402</v>
      </c>
      <c r="AD172" s="84">
        <f t="shared" si="7"/>
        <v>38218</v>
      </c>
      <c r="AF172" s="84">
        <f>VLOOKUP(A172,'OPEB Amounts_Report'!$A$10:$G$324,6,FALSE)</f>
        <v>94788</v>
      </c>
      <c r="AG172" s="85">
        <f t="shared" si="8"/>
        <v>-23386</v>
      </c>
    </row>
    <row r="173" spans="1:33">
      <c r="A173" s="164">
        <v>31091</v>
      </c>
      <c r="B173" s="168" t="s">
        <v>163</v>
      </c>
      <c r="C173" s="123">
        <f>VLOOKUP($A173,'Change in Proportion Calc'!$A$5:$P$319,12,FALSE)</f>
        <v>-5170</v>
      </c>
      <c r="D173" s="123">
        <f>VLOOKUP($A173,'Change in Proportion Calc'!$A$5:$P$319,13,FALSE)</f>
        <v>-5170</v>
      </c>
      <c r="E173" s="123">
        <f>VLOOKUP($A173,'Change in Proportion Calc'!$A$5:$P$319,13,FALSE)</f>
        <v>-5170</v>
      </c>
      <c r="F173" s="123">
        <f>VLOOKUP($A173,'Change in Proportion Calc'!$A$5:$P$319,13,FALSE)</f>
        <v>-5170</v>
      </c>
      <c r="G173" s="123">
        <f>VLOOKUP($A173,'Change in Proportion Calc'!$A$5:$P$319,16,FALSE)</f>
        <v>-4599</v>
      </c>
      <c r="H173" s="167"/>
      <c r="I173" s="123">
        <v>32153</v>
      </c>
      <c r="J173" s="123">
        <v>32153</v>
      </c>
      <c r="K173" s="123">
        <v>32153</v>
      </c>
      <c r="L173" s="123">
        <v>32153</v>
      </c>
      <c r="M173" s="123">
        <v>31509</v>
      </c>
      <c r="N173" s="167"/>
      <c r="O173" s="84">
        <v>-12451</v>
      </c>
      <c r="P173" s="84">
        <v>-12451</v>
      </c>
      <c r="Q173" s="84">
        <v>-12451</v>
      </c>
      <c r="R173" s="85">
        <v>-12202</v>
      </c>
      <c r="S173" s="167"/>
      <c r="T173" s="84">
        <v>12709</v>
      </c>
      <c r="U173" s="84">
        <v>12709</v>
      </c>
      <c r="V173" s="85">
        <v>8136</v>
      </c>
      <c r="X173" s="84">
        <v>-19451</v>
      </c>
      <c r="Y173" s="84">
        <v>-14006</v>
      </c>
      <c r="AA173" s="85">
        <f>VLOOKUP(A173,'Change in Proportion Calc'!$A$5:$H$319,8,FALSE)+I173+O173+T173+X173</f>
        <v>7790</v>
      </c>
      <c r="AC173" s="84">
        <f t="shared" si="6"/>
        <v>148813</v>
      </c>
      <c r="AD173" s="84">
        <f t="shared" si="7"/>
        <v>76389</v>
      </c>
      <c r="AF173" s="84">
        <f>VLOOKUP(A173,'OPEB Amounts_Report'!$A$10:$G$324,6,FALSE)</f>
        <v>89063</v>
      </c>
      <c r="AG173" s="85">
        <f t="shared" si="8"/>
        <v>59750</v>
      </c>
    </row>
    <row r="174" spans="1:33">
      <c r="A174" s="166">
        <v>2342</v>
      </c>
      <c r="B174" s="167" t="s">
        <v>164</v>
      </c>
      <c r="C174" s="123">
        <f>VLOOKUP($A174,'Change in Proportion Calc'!$A$5:$P$319,12,FALSE)</f>
        <v>16929</v>
      </c>
      <c r="D174" s="123">
        <f>VLOOKUP($A174,'Change in Proportion Calc'!$A$5:$P$319,13,FALSE)</f>
        <v>16929</v>
      </c>
      <c r="E174" s="123">
        <f>VLOOKUP($A174,'Change in Proportion Calc'!$A$5:$P$319,13,FALSE)</f>
        <v>16929</v>
      </c>
      <c r="F174" s="123">
        <f>VLOOKUP($A174,'Change in Proportion Calc'!$A$5:$P$319,13,FALSE)</f>
        <v>16929</v>
      </c>
      <c r="G174" s="123">
        <f>VLOOKUP($A174,'Change in Proportion Calc'!$A$5:$P$319,16,FALSE)</f>
        <v>15067</v>
      </c>
      <c r="H174" s="167"/>
      <c r="I174" s="123">
        <v>35797</v>
      </c>
      <c r="J174" s="123">
        <v>35797</v>
      </c>
      <c r="K174" s="123">
        <v>35797</v>
      </c>
      <c r="L174" s="123">
        <v>35797</v>
      </c>
      <c r="M174" s="123">
        <v>35083</v>
      </c>
      <c r="N174" s="167"/>
      <c r="O174" s="84">
        <v>9102</v>
      </c>
      <c r="P174" s="84">
        <v>9102</v>
      </c>
      <c r="Q174" s="84">
        <v>9102</v>
      </c>
      <c r="R174" s="85">
        <v>8921</v>
      </c>
      <c r="S174" s="167"/>
      <c r="T174" s="84">
        <v>1261</v>
      </c>
      <c r="U174" s="84">
        <v>1261</v>
      </c>
      <c r="V174" s="85">
        <v>808</v>
      </c>
      <c r="X174" s="84">
        <v>1264</v>
      </c>
      <c r="Y174" s="84">
        <v>912</v>
      </c>
      <c r="AA174" s="85">
        <f>VLOOKUP(A174,'Change in Proportion Calc'!$A$5:$H$319,8,FALSE)+I174+O174+T174+X174</f>
        <v>64353</v>
      </c>
      <c r="AC174" s="84">
        <f t="shared" si="6"/>
        <v>255363</v>
      </c>
      <c r="AD174" s="84">
        <f t="shared" si="7"/>
        <v>0</v>
      </c>
      <c r="AF174" s="84">
        <f>VLOOKUP(A174,'OPEB Amounts_Report'!$A$10:$G$324,6,FALSE)</f>
        <v>158282</v>
      </c>
      <c r="AG174" s="85">
        <f t="shared" si="8"/>
        <v>97081</v>
      </c>
    </row>
    <row r="175" spans="1:33">
      <c r="A175" s="164">
        <v>22067</v>
      </c>
      <c r="B175" s="168" t="s">
        <v>165</v>
      </c>
      <c r="C175" s="123">
        <f>VLOOKUP($A175,'Change in Proportion Calc'!$A$5:$P$319,12,FALSE)</f>
        <v>16793</v>
      </c>
      <c r="D175" s="123">
        <f>VLOOKUP($A175,'Change in Proportion Calc'!$A$5:$P$319,13,FALSE)</f>
        <v>16793</v>
      </c>
      <c r="E175" s="123">
        <f>VLOOKUP($A175,'Change in Proportion Calc'!$A$5:$P$319,13,FALSE)</f>
        <v>16793</v>
      </c>
      <c r="F175" s="123">
        <f>VLOOKUP($A175,'Change in Proportion Calc'!$A$5:$P$319,13,FALSE)</f>
        <v>16793</v>
      </c>
      <c r="G175" s="123">
        <f>VLOOKUP($A175,'Change in Proportion Calc'!$A$5:$P$319,16,FALSE)</f>
        <v>14945</v>
      </c>
      <c r="H175" s="167"/>
      <c r="I175" s="123">
        <v>-45273</v>
      </c>
      <c r="J175" s="123">
        <v>-45273</v>
      </c>
      <c r="K175" s="123">
        <v>-45273</v>
      </c>
      <c r="L175" s="123">
        <v>-45273</v>
      </c>
      <c r="M175" s="123">
        <v>-44368</v>
      </c>
      <c r="N175" s="167"/>
      <c r="O175" s="84">
        <v>94198</v>
      </c>
      <c r="P175" s="84">
        <v>94198</v>
      </c>
      <c r="Q175" s="84">
        <v>94198</v>
      </c>
      <c r="R175" s="85">
        <v>92316</v>
      </c>
      <c r="S175" s="167"/>
      <c r="T175" s="84">
        <v>-48025</v>
      </c>
      <c r="U175" s="84">
        <v>-48025</v>
      </c>
      <c r="V175" s="85">
        <v>-30734</v>
      </c>
      <c r="X175" s="84">
        <v>14880</v>
      </c>
      <c r="Y175" s="84">
        <v>10715</v>
      </c>
      <c r="AA175" s="85">
        <f>VLOOKUP(A175,'Change in Proportion Calc'!$A$5:$H$319,8,FALSE)+I175+O175+T175+X175</f>
        <v>32573</v>
      </c>
      <c r="AC175" s="84">
        <f t="shared" si="6"/>
        <v>373544</v>
      </c>
      <c r="AD175" s="84">
        <f t="shared" si="7"/>
        <v>258946</v>
      </c>
      <c r="AF175" s="84">
        <f>VLOOKUP(A175,'OPEB Amounts_Report'!$A$10:$G$324,6,FALSE)</f>
        <v>228677</v>
      </c>
      <c r="AG175" s="85">
        <f t="shared" si="8"/>
        <v>144867</v>
      </c>
    </row>
    <row r="176" spans="1:33">
      <c r="A176" s="166">
        <v>32112</v>
      </c>
      <c r="B176" s="167" t="s">
        <v>166</v>
      </c>
      <c r="C176" s="123">
        <f>VLOOKUP($A176,'Change in Proportion Calc'!$A$5:$P$319,12,FALSE)</f>
        <v>-11952</v>
      </c>
      <c r="D176" s="123">
        <f>VLOOKUP($A176,'Change in Proportion Calc'!$A$5:$P$319,13,FALSE)</f>
        <v>-11952</v>
      </c>
      <c r="E176" s="123">
        <f>VLOOKUP($A176,'Change in Proportion Calc'!$A$5:$P$319,13,FALSE)</f>
        <v>-11952</v>
      </c>
      <c r="F176" s="123">
        <f>VLOOKUP($A176,'Change in Proportion Calc'!$A$5:$P$319,13,FALSE)</f>
        <v>-11952</v>
      </c>
      <c r="G176" s="123">
        <f>VLOOKUP($A176,'Change in Proportion Calc'!$A$5:$P$319,16,FALSE)</f>
        <v>-10635</v>
      </c>
      <c r="H176" s="167"/>
      <c r="I176" s="123">
        <v>10286</v>
      </c>
      <c r="J176" s="123">
        <v>10286</v>
      </c>
      <c r="K176" s="123">
        <v>10286</v>
      </c>
      <c r="L176" s="123">
        <v>10286</v>
      </c>
      <c r="M176" s="123">
        <v>10078</v>
      </c>
      <c r="N176" s="167"/>
      <c r="O176" s="84">
        <v>-10047</v>
      </c>
      <c r="P176" s="84">
        <v>-10047</v>
      </c>
      <c r="Q176" s="84">
        <v>-10047</v>
      </c>
      <c r="R176" s="85">
        <v>-9844</v>
      </c>
      <c r="S176" s="167"/>
      <c r="T176" s="84">
        <v>-3687</v>
      </c>
      <c r="U176" s="84">
        <v>-3687</v>
      </c>
      <c r="V176" s="85">
        <v>-2358</v>
      </c>
      <c r="X176" s="84">
        <v>-14783</v>
      </c>
      <c r="Y176" s="84">
        <v>-10644</v>
      </c>
      <c r="AA176" s="85">
        <f>VLOOKUP(A176,'Change in Proportion Calc'!$A$5:$H$319,8,FALSE)+I176+O176+T176+X176</f>
        <v>-30182</v>
      </c>
      <c r="AC176" s="84">
        <f t="shared" si="6"/>
        <v>40936</v>
      </c>
      <c r="AD176" s="84">
        <f t="shared" si="7"/>
        <v>105070</v>
      </c>
      <c r="AF176" s="84">
        <f>VLOOKUP(A176,'OPEB Amounts_Report'!$A$10:$G$324,6,FALSE)</f>
        <v>120633</v>
      </c>
      <c r="AG176" s="85">
        <f t="shared" si="8"/>
        <v>-79697</v>
      </c>
    </row>
    <row r="177" spans="1:33">
      <c r="A177" s="164">
        <v>2354</v>
      </c>
      <c r="B177" s="168" t="s">
        <v>167</v>
      </c>
      <c r="C177" s="123">
        <f>VLOOKUP($A177,'Change in Proportion Calc'!$A$5:$P$319,12,FALSE)</f>
        <v>76403</v>
      </c>
      <c r="D177" s="123">
        <f>VLOOKUP($A177,'Change in Proportion Calc'!$A$5:$P$319,13,FALSE)</f>
        <v>76403</v>
      </c>
      <c r="E177" s="123">
        <f>VLOOKUP($A177,'Change in Proportion Calc'!$A$5:$P$319,13,FALSE)</f>
        <v>76403</v>
      </c>
      <c r="F177" s="123">
        <f>VLOOKUP($A177,'Change in Proportion Calc'!$A$5:$P$319,13,FALSE)</f>
        <v>76403</v>
      </c>
      <c r="G177" s="123">
        <f>VLOOKUP($A177,'Change in Proportion Calc'!$A$5:$P$319,16,FALSE)</f>
        <v>68001</v>
      </c>
      <c r="H177" s="167"/>
      <c r="I177" s="123">
        <v>-2187</v>
      </c>
      <c r="J177" s="123">
        <v>-2187</v>
      </c>
      <c r="K177" s="123">
        <v>-2187</v>
      </c>
      <c r="L177" s="123">
        <v>-2187</v>
      </c>
      <c r="M177" s="123">
        <v>-2142</v>
      </c>
      <c r="N177" s="167"/>
      <c r="O177" s="84">
        <v>-5324</v>
      </c>
      <c r="P177" s="84">
        <v>-5324</v>
      </c>
      <c r="Q177" s="84">
        <v>-5324</v>
      </c>
      <c r="R177" s="85">
        <v>-5217</v>
      </c>
      <c r="S177" s="167"/>
      <c r="T177" s="84">
        <v>10575</v>
      </c>
      <c r="U177" s="84">
        <v>10575</v>
      </c>
      <c r="V177" s="85">
        <v>6769</v>
      </c>
      <c r="X177" s="84">
        <v>31608</v>
      </c>
      <c r="Y177" s="84">
        <v>22760</v>
      </c>
      <c r="AA177" s="85">
        <f>VLOOKUP(A177,'Change in Proportion Calc'!$A$5:$H$319,8,FALSE)+I177+O177+T177+X177</f>
        <v>111075</v>
      </c>
      <c r="AC177" s="84">
        <f t="shared" si="6"/>
        <v>413717</v>
      </c>
      <c r="AD177" s="84">
        <f t="shared" si="7"/>
        <v>24568</v>
      </c>
      <c r="AF177" s="84">
        <f>VLOOKUP(A177,'OPEB Amounts_Report'!$A$10:$G$324,6,FALSE)</f>
        <v>385794</v>
      </c>
      <c r="AG177" s="85">
        <f t="shared" si="8"/>
        <v>27923</v>
      </c>
    </row>
    <row r="178" spans="1:33">
      <c r="A178" s="166">
        <v>2148</v>
      </c>
      <c r="B178" s="167" t="s">
        <v>168</v>
      </c>
      <c r="C178" s="123">
        <f>VLOOKUP($A178,'Change in Proportion Calc'!$A$5:$P$319,12,FALSE)</f>
        <v>-5564</v>
      </c>
      <c r="D178" s="123">
        <f>VLOOKUP($A178,'Change in Proportion Calc'!$A$5:$P$319,13,FALSE)</f>
        <v>-5564</v>
      </c>
      <c r="E178" s="123">
        <f>VLOOKUP($A178,'Change in Proportion Calc'!$A$5:$P$319,13,FALSE)</f>
        <v>-5564</v>
      </c>
      <c r="F178" s="123">
        <f>VLOOKUP($A178,'Change in Proportion Calc'!$A$5:$P$319,13,FALSE)</f>
        <v>-5564</v>
      </c>
      <c r="G178" s="123">
        <f>VLOOKUP($A178,'Change in Proportion Calc'!$A$5:$P$319,16,FALSE)</f>
        <v>-4952</v>
      </c>
      <c r="H178" s="167"/>
      <c r="I178" s="123">
        <v>-162</v>
      </c>
      <c r="J178" s="123">
        <v>-162</v>
      </c>
      <c r="K178" s="123">
        <v>-162</v>
      </c>
      <c r="L178" s="123">
        <v>-162</v>
      </c>
      <c r="M178" s="123">
        <v>-159</v>
      </c>
      <c r="N178" s="167"/>
      <c r="O178" s="84">
        <v>-10562</v>
      </c>
      <c r="P178" s="84">
        <v>-10562</v>
      </c>
      <c r="Q178" s="84">
        <v>-10562</v>
      </c>
      <c r="R178" s="85">
        <v>-10350</v>
      </c>
      <c r="S178" s="167"/>
      <c r="T178" s="84">
        <v>5918</v>
      </c>
      <c r="U178" s="84">
        <v>5918</v>
      </c>
      <c r="V178" s="85">
        <v>3789</v>
      </c>
      <c r="X178" s="84">
        <v>-8364</v>
      </c>
      <c r="Y178" s="84">
        <v>-6022</v>
      </c>
      <c r="AA178" s="85">
        <f>VLOOKUP(A178,'Change in Proportion Calc'!$A$5:$H$319,8,FALSE)+I178+O178+T178+X178</f>
        <v>-18734</v>
      </c>
      <c r="AC178" s="84">
        <f t="shared" si="6"/>
        <v>9707</v>
      </c>
      <c r="AD178" s="84">
        <f t="shared" si="7"/>
        <v>65349</v>
      </c>
      <c r="AF178" s="84">
        <f>VLOOKUP(A178,'OPEB Amounts_Report'!$A$10:$G$324,6,FALSE)</f>
        <v>115783</v>
      </c>
      <c r="AG178" s="85">
        <f t="shared" si="8"/>
        <v>-106076</v>
      </c>
    </row>
    <row r="179" spans="1:33">
      <c r="A179" s="164">
        <v>1418</v>
      </c>
      <c r="B179" s="168" t="s">
        <v>169</v>
      </c>
      <c r="C179" s="123">
        <f>VLOOKUP($A179,'Change in Proportion Calc'!$A$5:$P$319,12,FALSE)</f>
        <v>34542</v>
      </c>
      <c r="D179" s="123">
        <f>VLOOKUP($A179,'Change in Proportion Calc'!$A$5:$P$319,13,FALSE)</f>
        <v>34542</v>
      </c>
      <c r="E179" s="123">
        <f>VLOOKUP($A179,'Change in Proportion Calc'!$A$5:$P$319,13,FALSE)</f>
        <v>34542</v>
      </c>
      <c r="F179" s="123">
        <f>VLOOKUP($A179,'Change in Proportion Calc'!$A$5:$P$319,13,FALSE)</f>
        <v>34542</v>
      </c>
      <c r="G179" s="123">
        <f>VLOOKUP($A179,'Change in Proportion Calc'!$A$5:$P$319,16,FALSE)</f>
        <v>30742</v>
      </c>
      <c r="H179" s="167"/>
      <c r="I179" s="123">
        <v>210087</v>
      </c>
      <c r="J179" s="123">
        <v>210087</v>
      </c>
      <c r="K179" s="123">
        <v>210087</v>
      </c>
      <c r="L179" s="123">
        <v>210087</v>
      </c>
      <c r="M179" s="123">
        <v>205883</v>
      </c>
      <c r="N179" s="167"/>
      <c r="O179" s="84">
        <v>115666</v>
      </c>
      <c r="P179" s="84">
        <v>115666</v>
      </c>
      <c r="Q179" s="84">
        <v>115666</v>
      </c>
      <c r="R179" s="85">
        <v>113351</v>
      </c>
      <c r="S179" s="167"/>
      <c r="T179" s="84">
        <v>-214510</v>
      </c>
      <c r="U179" s="84">
        <v>-214510</v>
      </c>
      <c r="V179" s="85">
        <v>-137285</v>
      </c>
      <c r="X179" s="84">
        <v>119139</v>
      </c>
      <c r="Y179" s="84">
        <v>85781</v>
      </c>
      <c r="AA179" s="85">
        <f>VLOOKUP(A179,'Change in Proportion Calc'!$A$5:$H$319,8,FALSE)+I179+O179+T179+X179</f>
        <v>264924</v>
      </c>
      <c r="AC179" s="84">
        <f t="shared" si="6"/>
        <v>1435518</v>
      </c>
      <c r="AD179" s="84">
        <f t="shared" si="7"/>
        <v>351795</v>
      </c>
      <c r="AF179" s="84">
        <f>VLOOKUP(A179,'OPEB Amounts_Report'!$A$10:$G$324,6,FALSE)</f>
        <v>483733</v>
      </c>
      <c r="AG179" s="85">
        <f t="shared" si="8"/>
        <v>951785</v>
      </c>
    </row>
    <row r="180" spans="1:33">
      <c r="A180" s="166">
        <v>12102</v>
      </c>
      <c r="B180" s="167" t="s">
        <v>170</v>
      </c>
      <c r="C180" s="123">
        <f>VLOOKUP($A180,'Change in Proportion Calc'!$A$5:$P$319,12,FALSE)</f>
        <v>154658</v>
      </c>
      <c r="D180" s="123">
        <f>VLOOKUP($A180,'Change in Proportion Calc'!$A$5:$P$319,13,FALSE)</f>
        <v>154658</v>
      </c>
      <c r="E180" s="123">
        <f>VLOOKUP($A180,'Change in Proportion Calc'!$A$5:$P$319,13,FALSE)</f>
        <v>154658</v>
      </c>
      <c r="F180" s="123">
        <f>VLOOKUP($A180,'Change in Proportion Calc'!$A$5:$P$319,13,FALSE)</f>
        <v>154658</v>
      </c>
      <c r="G180" s="123">
        <f>VLOOKUP($A180,'Change in Proportion Calc'!$A$5:$P$319,16,FALSE)</f>
        <v>137646</v>
      </c>
      <c r="H180" s="167"/>
      <c r="I180" s="123">
        <v>304763</v>
      </c>
      <c r="J180" s="123">
        <v>304763</v>
      </c>
      <c r="K180" s="123">
        <v>304763</v>
      </c>
      <c r="L180" s="123">
        <v>304763</v>
      </c>
      <c r="M180" s="123">
        <v>298670</v>
      </c>
      <c r="N180" s="167"/>
      <c r="O180" s="84">
        <v>-304921</v>
      </c>
      <c r="P180" s="84">
        <v>-304921</v>
      </c>
      <c r="Q180" s="84">
        <v>-304921</v>
      </c>
      <c r="R180" s="85">
        <v>-298823</v>
      </c>
      <c r="S180" s="167"/>
      <c r="T180" s="84">
        <v>-130394</v>
      </c>
      <c r="U180" s="84">
        <v>-130394</v>
      </c>
      <c r="V180" s="85">
        <v>-83452</v>
      </c>
      <c r="X180" s="84">
        <v>-290116</v>
      </c>
      <c r="Y180" s="84">
        <v>-208884</v>
      </c>
      <c r="AA180" s="85">
        <f>VLOOKUP(A180,'Change in Proportion Calc'!$A$5:$H$319,8,FALSE)+I180+O180+T180+X180</f>
        <v>-266010</v>
      </c>
      <c r="AC180" s="84">
        <f t="shared" si="6"/>
        <v>1969237</v>
      </c>
      <c r="AD180" s="84">
        <f t="shared" si="7"/>
        <v>1331395</v>
      </c>
      <c r="AF180" s="84">
        <f>VLOOKUP(A180,'OPEB Amounts_Report'!$A$10:$G$324,6,FALSE)</f>
        <v>2714160</v>
      </c>
      <c r="AG180" s="85">
        <f t="shared" si="8"/>
        <v>-744923</v>
      </c>
    </row>
    <row r="181" spans="1:33">
      <c r="A181" s="164">
        <v>2414</v>
      </c>
      <c r="B181" s="168" t="s">
        <v>171</v>
      </c>
      <c r="C181" s="123">
        <f>VLOOKUP($A181,'Change in Proportion Calc'!$A$5:$P$319,12,FALSE)</f>
        <v>47436</v>
      </c>
      <c r="D181" s="123">
        <f>VLOOKUP($A181,'Change in Proportion Calc'!$A$5:$P$319,13,FALSE)</f>
        <v>47436</v>
      </c>
      <c r="E181" s="123">
        <f>VLOOKUP($A181,'Change in Proportion Calc'!$A$5:$P$319,13,FALSE)</f>
        <v>47436</v>
      </c>
      <c r="F181" s="123">
        <f>VLOOKUP($A181,'Change in Proportion Calc'!$A$5:$P$319,13,FALSE)</f>
        <v>47436</v>
      </c>
      <c r="G181" s="123">
        <f>VLOOKUP($A181,'Change in Proportion Calc'!$A$5:$P$319,16,FALSE)</f>
        <v>42216</v>
      </c>
      <c r="H181" s="167"/>
      <c r="I181" s="123">
        <v>39685</v>
      </c>
      <c r="J181" s="123">
        <v>39685</v>
      </c>
      <c r="K181" s="123">
        <v>39685</v>
      </c>
      <c r="L181" s="123">
        <v>39685</v>
      </c>
      <c r="M181" s="123">
        <v>38890</v>
      </c>
      <c r="N181" s="167"/>
      <c r="O181" s="84">
        <v>102098</v>
      </c>
      <c r="P181" s="84">
        <v>102098</v>
      </c>
      <c r="Q181" s="84">
        <v>102098</v>
      </c>
      <c r="R181" s="85">
        <v>100058</v>
      </c>
      <c r="S181" s="167"/>
      <c r="T181" s="84">
        <v>53264</v>
      </c>
      <c r="U181" s="84">
        <v>53264</v>
      </c>
      <c r="V181" s="85">
        <v>34087</v>
      </c>
      <c r="X181" s="84">
        <v>-17409</v>
      </c>
      <c r="Y181" s="84">
        <v>-12534</v>
      </c>
      <c r="AA181" s="85">
        <f>VLOOKUP(A181,'Change in Proportion Calc'!$A$5:$H$319,8,FALSE)+I181+O181+T181+X181</f>
        <v>225074</v>
      </c>
      <c r="AC181" s="84">
        <f t="shared" si="6"/>
        <v>781510</v>
      </c>
      <c r="AD181" s="84">
        <f t="shared" si="7"/>
        <v>12534</v>
      </c>
      <c r="AF181" s="84">
        <f>VLOOKUP(A181,'OPEB Amounts_Report'!$A$10:$G$324,6,FALSE)</f>
        <v>229512</v>
      </c>
      <c r="AG181" s="85">
        <f t="shared" si="8"/>
        <v>551998</v>
      </c>
    </row>
    <row r="182" spans="1:33">
      <c r="A182" s="166">
        <v>6124</v>
      </c>
      <c r="B182" s="167" t="s">
        <v>172</v>
      </c>
      <c r="C182" s="123">
        <f>VLOOKUP($A182,'Change in Proportion Calc'!$A$5:$P$319,12,FALSE)</f>
        <v>-41687</v>
      </c>
      <c r="D182" s="123">
        <f>VLOOKUP($A182,'Change in Proportion Calc'!$A$5:$P$319,13,FALSE)</f>
        <v>-41687</v>
      </c>
      <c r="E182" s="123">
        <f>VLOOKUP($A182,'Change in Proportion Calc'!$A$5:$P$319,13,FALSE)</f>
        <v>-41687</v>
      </c>
      <c r="F182" s="123">
        <f>VLOOKUP($A182,'Change in Proportion Calc'!$A$5:$P$319,13,FALSE)</f>
        <v>-41687</v>
      </c>
      <c r="G182" s="123">
        <f>VLOOKUP($A182,'Change in Proportion Calc'!$A$5:$P$319,16,FALSE)</f>
        <v>-37099</v>
      </c>
      <c r="H182" s="167"/>
      <c r="I182" s="123">
        <v>-134604</v>
      </c>
      <c r="J182" s="123">
        <v>-134604</v>
      </c>
      <c r="K182" s="123">
        <v>-134604</v>
      </c>
      <c r="L182" s="123">
        <v>-134604</v>
      </c>
      <c r="M182" s="123">
        <v>-131914</v>
      </c>
      <c r="N182" s="167"/>
      <c r="O182" s="84">
        <v>-150443</v>
      </c>
      <c r="P182" s="84">
        <v>-150443</v>
      </c>
      <c r="Q182" s="84">
        <v>-150443</v>
      </c>
      <c r="R182" s="85">
        <v>-147432</v>
      </c>
      <c r="S182" s="167"/>
      <c r="T182" s="84">
        <v>-191225</v>
      </c>
      <c r="U182" s="84">
        <v>-191225</v>
      </c>
      <c r="V182" s="85">
        <v>-122384</v>
      </c>
      <c r="X182" s="84">
        <v>-117681</v>
      </c>
      <c r="Y182" s="84">
        <v>-84728</v>
      </c>
      <c r="AA182" s="85">
        <f>VLOOKUP(A182,'Change in Proportion Calc'!$A$5:$H$319,8,FALSE)+I182+O182+T182+X182</f>
        <v>-635640</v>
      </c>
      <c r="AC182" s="84">
        <f t="shared" si="6"/>
        <v>0</v>
      </c>
      <c r="AD182" s="84">
        <f t="shared" si="7"/>
        <v>1586228</v>
      </c>
      <c r="AF182" s="84">
        <f>VLOOKUP(A182,'OPEB Amounts_Report'!$A$10:$G$324,6,FALSE)</f>
        <v>1201041</v>
      </c>
      <c r="AG182" s="85">
        <f t="shared" si="8"/>
        <v>-1201041</v>
      </c>
    </row>
    <row r="183" spans="1:33">
      <c r="A183" s="164">
        <v>4097</v>
      </c>
      <c r="B183" s="168" t="s">
        <v>173</v>
      </c>
      <c r="C183" s="123">
        <f>VLOOKUP($A183,'Change in Proportion Calc'!$A$5:$P$319,12,FALSE)</f>
        <v>-13500</v>
      </c>
      <c r="D183" s="123">
        <f>VLOOKUP($A183,'Change in Proportion Calc'!$A$5:$P$319,13,FALSE)</f>
        <v>-13500</v>
      </c>
      <c r="E183" s="123">
        <f>VLOOKUP($A183,'Change in Proportion Calc'!$A$5:$P$319,13,FALSE)</f>
        <v>-13500</v>
      </c>
      <c r="F183" s="123">
        <f>VLOOKUP($A183,'Change in Proportion Calc'!$A$5:$P$319,13,FALSE)</f>
        <v>-13500</v>
      </c>
      <c r="G183" s="123">
        <f>VLOOKUP($A183,'Change in Proportion Calc'!$A$5:$P$319,16,FALSE)</f>
        <v>-12017</v>
      </c>
      <c r="H183" s="167"/>
      <c r="I183" s="123">
        <v>-22758</v>
      </c>
      <c r="J183" s="123">
        <v>-22758</v>
      </c>
      <c r="K183" s="123">
        <v>-22758</v>
      </c>
      <c r="L183" s="123">
        <v>-22758</v>
      </c>
      <c r="M183" s="123">
        <v>-22303</v>
      </c>
      <c r="N183" s="167"/>
      <c r="O183" s="84">
        <v>-164353</v>
      </c>
      <c r="P183" s="84">
        <v>-164353</v>
      </c>
      <c r="Q183" s="84">
        <v>-164353</v>
      </c>
      <c r="R183" s="85">
        <v>-161068</v>
      </c>
      <c r="S183" s="167"/>
      <c r="T183" s="84">
        <v>-2134</v>
      </c>
      <c r="U183" s="84">
        <v>-2134</v>
      </c>
      <c r="V183" s="85">
        <v>-1368</v>
      </c>
      <c r="X183" s="84">
        <v>36277</v>
      </c>
      <c r="Y183" s="84">
        <v>26118</v>
      </c>
      <c r="AA183" s="85">
        <f>VLOOKUP(A183,'Change in Proportion Calc'!$A$5:$H$319,8,FALSE)+I183+O183+T183+X183</f>
        <v>-166468</v>
      </c>
      <c r="AC183" s="84">
        <f t="shared" si="6"/>
        <v>26118</v>
      </c>
      <c r="AD183" s="84">
        <f t="shared" si="7"/>
        <v>649870</v>
      </c>
      <c r="AF183" s="84">
        <f>VLOOKUP(A183,'OPEB Amounts_Report'!$A$10:$G$324,6,FALSE)</f>
        <v>1444997</v>
      </c>
      <c r="AG183" s="85">
        <f t="shared" si="8"/>
        <v>-1418879</v>
      </c>
    </row>
    <row r="184" spans="1:33">
      <c r="A184" s="166">
        <v>1416</v>
      </c>
      <c r="B184" s="167" t="s">
        <v>174</v>
      </c>
      <c r="C184" s="123">
        <f>VLOOKUP($A184,'Change in Proportion Calc'!$A$5:$P$319,12,FALSE)</f>
        <v>12905</v>
      </c>
      <c r="D184" s="123">
        <f>VLOOKUP($A184,'Change in Proportion Calc'!$A$5:$P$319,13,FALSE)</f>
        <v>12905</v>
      </c>
      <c r="E184" s="123">
        <f>VLOOKUP($A184,'Change in Proportion Calc'!$A$5:$P$319,13,FALSE)</f>
        <v>12905</v>
      </c>
      <c r="F184" s="123">
        <f>VLOOKUP($A184,'Change in Proportion Calc'!$A$5:$P$319,13,FALSE)</f>
        <v>12905</v>
      </c>
      <c r="G184" s="123">
        <f>VLOOKUP($A184,'Change in Proportion Calc'!$A$5:$P$319,16,FALSE)</f>
        <v>11485</v>
      </c>
      <c r="H184" s="167"/>
      <c r="I184" s="123">
        <v>26646</v>
      </c>
      <c r="J184" s="123">
        <v>26646</v>
      </c>
      <c r="K184" s="123">
        <v>26646</v>
      </c>
      <c r="L184" s="123">
        <v>26646</v>
      </c>
      <c r="M184" s="123">
        <v>26111</v>
      </c>
      <c r="N184" s="167"/>
      <c r="O184" s="84">
        <v>3950</v>
      </c>
      <c r="P184" s="84">
        <v>3950</v>
      </c>
      <c r="Q184" s="84">
        <v>3950</v>
      </c>
      <c r="R184" s="85">
        <v>3871</v>
      </c>
      <c r="S184" s="167"/>
      <c r="T184" s="84">
        <v>26972</v>
      </c>
      <c r="U184" s="84">
        <v>26972</v>
      </c>
      <c r="V184" s="85">
        <v>17260</v>
      </c>
      <c r="X184" s="84">
        <v>17020</v>
      </c>
      <c r="Y184" s="84">
        <v>12254</v>
      </c>
      <c r="AA184" s="85">
        <f>VLOOKUP(A184,'Change in Proportion Calc'!$A$5:$H$319,8,FALSE)+I184+O184+T184+X184</f>
        <v>87493</v>
      </c>
      <c r="AC184" s="84">
        <f t="shared" si="6"/>
        <v>237411</v>
      </c>
      <c r="AD184" s="84">
        <f t="shared" si="7"/>
        <v>0</v>
      </c>
      <c r="AF184" s="84">
        <f>VLOOKUP(A184,'OPEB Amounts_Report'!$A$10:$G$324,6,FALSE)</f>
        <v>187731</v>
      </c>
      <c r="AG184" s="85">
        <f t="shared" si="8"/>
        <v>49680</v>
      </c>
    </row>
    <row r="185" spans="1:33">
      <c r="A185" s="164">
        <v>1094</v>
      </c>
      <c r="B185" s="168" t="s">
        <v>175</v>
      </c>
      <c r="C185" s="123">
        <f>VLOOKUP($A185,'Change in Proportion Calc'!$A$5:$P$319,12,FALSE)</f>
        <v>-105698</v>
      </c>
      <c r="D185" s="123">
        <f>VLOOKUP($A185,'Change in Proportion Calc'!$A$5:$P$319,13,FALSE)</f>
        <v>-105698</v>
      </c>
      <c r="E185" s="123">
        <f>VLOOKUP($A185,'Change in Proportion Calc'!$A$5:$P$319,13,FALSE)</f>
        <v>-105698</v>
      </c>
      <c r="F185" s="123">
        <f>VLOOKUP($A185,'Change in Proportion Calc'!$A$5:$P$319,13,FALSE)</f>
        <v>-105698</v>
      </c>
      <c r="G185" s="123">
        <f>VLOOKUP($A185,'Change in Proportion Calc'!$A$5:$P$319,16,FALSE)</f>
        <v>-94069</v>
      </c>
      <c r="H185" s="167"/>
      <c r="I185" s="123">
        <v>-107473</v>
      </c>
      <c r="J185" s="123">
        <v>-107473</v>
      </c>
      <c r="K185" s="123">
        <v>-107473</v>
      </c>
      <c r="L185" s="123">
        <v>-107473</v>
      </c>
      <c r="M185" s="123">
        <v>-105324</v>
      </c>
      <c r="N185" s="167"/>
      <c r="O185" s="84">
        <v>27993</v>
      </c>
      <c r="P185" s="84">
        <v>27993</v>
      </c>
      <c r="Q185" s="84">
        <v>27993</v>
      </c>
      <c r="R185" s="85">
        <v>27435</v>
      </c>
      <c r="S185" s="167"/>
      <c r="T185" s="84">
        <v>20180</v>
      </c>
      <c r="U185" s="84">
        <v>20180</v>
      </c>
      <c r="V185" s="85">
        <v>12915</v>
      </c>
      <c r="X185" s="84">
        <v>17506</v>
      </c>
      <c r="Y185" s="84">
        <v>12605</v>
      </c>
      <c r="AA185" s="85">
        <f>VLOOKUP(A185,'Change in Proportion Calc'!$A$5:$H$319,8,FALSE)+I185+O185+T185+X185</f>
        <v>-147492</v>
      </c>
      <c r="AC185" s="84">
        <f t="shared" si="6"/>
        <v>129121</v>
      </c>
      <c r="AD185" s="84">
        <f t="shared" si="7"/>
        <v>944604</v>
      </c>
      <c r="AF185" s="84">
        <f>VLOOKUP(A185,'OPEB Amounts_Report'!$A$10:$G$324,6,FALSE)</f>
        <v>1015956</v>
      </c>
      <c r="AG185" s="85">
        <f t="shared" si="8"/>
        <v>-886835</v>
      </c>
    </row>
    <row r="186" spans="1:33">
      <c r="A186" s="164">
        <v>32111</v>
      </c>
      <c r="B186" s="168" t="s">
        <v>176</v>
      </c>
      <c r="C186" s="123">
        <f>VLOOKUP($A186,'Change in Proportion Calc'!$A$5:$P$319,12,FALSE)</f>
        <v>34283</v>
      </c>
      <c r="D186" s="123">
        <f>VLOOKUP($A186,'Change in Proportion Calc'!$A$5:$P$319,13,FALSE)</f>
        <v>34283</v>
      </c>
      <c r="E186" s="123">
        <f>VLOOKUP($A186,'Change in Proportion Calc'!$A$5:$P$319,13,FALSE)</f>
        <v>34283</v>
      </c>
      <c r="F186" s="123">
        <f>VLOOKUP($A186,'Change in Proportion Calc'!$A$5:$P$319,13,FALSE)</f>
        <v>34283</v>
      </c>
      <c r="G186" s="123">
        <f>VLOOKUP($A186,'Change in Proportion Calc'!$A$5:$P$319,16,FALSE)</f>
        <v>30514</v>
      </c>
      <c r="H186" s="167"/>
      <c r="I186" s="123">
        <v>-64224</v>
      </c>
      <c r="J186" s="123">
        <v>-64224</v>
      </c>
      <c r="K186" s="123">
        <v>-64224</v>
      </c>
      <c r="L186" s="123">
        <v>-64224</v>
      </c>
      <c r="M186" s="123">
        <v>-62942</v>
      </c>
      <c r="N186" s="167"/>
      <c r="O186" s="84">
        <v>-22841</v>
      </c>
      <c r="P186" s="84">
        <v>-22841</v>
      </c>
      <c r="Q186" s="84">
        <v>-22841</v>
      </c>
      <c r="R186" s="85">
        <v>-22385</v>
      </c>
      <c r="S186" s="167"/>
      <c r="T186" s="84">
        <v>2522</v>
      </c>
      <c r="U186" s="84">
        <v>2522</v>
      </c>
      <c r="V186" s="85">
        <v>1616</v>
      </c>
      <c r="X186" s="84">
        <v>25481</v>
      </c>
      <c r="Y186" s="84">
        <v>18347</v>
      </c>
      <c r="AA186" s="85">
        <f>VLOOKUP(A186,'Change in Proportion Calc'!$A$5:$H$319,8,FALSE)+I186+O186+T186+X186</f>
        <v>-24779</v>
      </c>
      <c r="AC186" s="84">
        <f t="shared" si="6"/>
        <v>190131</v>
      </c>
      <c r="AD186" s="84">
        <f t="shared" si="7"/>
        <v>323681</v>
      </c>
      <c r="AF186" s="84">
        <f>VLOOKUP(A186,'OPEB Amounts_Report'!$A$10:$G$324,6,FALSE)</f>
        <v>1019074</v>
      </c>
      <c r="AG186" s="85">
        <f t="shared" si="8"/>
        <v>-828943</v>
      </c>
    </row>
    <row r="187" spans="1:33">
      <c r="A187" s="166">
        <v>2520</v>
      </c>
      <c r="B187" s="167" t="s">
        <v>177</v>
      </c>
      <c r="C187" s="123">
        <f>VLOOKUP($A187,'Change in Proportion Calc'!$A$5:$P$319,12,FALSE)</f>
        <v>23690</v>
      </c>
      <c r="D187" s="123">
        <f>VLOOKUP($A187,'Change in Proportion Calc'!$A$5:$P$319,13,FALSE)</f>
        <v>23690</v>
      </c>
      <c r="E187" s="123">
        <f>VLOOKUP($A187,'Change in Proportion Calc'!$A$5:$P$319,13,FALSE)</f>
        <v>23690</v>
      </c>
      <c r="F187" s="123">
        <f>VLOOKUP($A187,'Change in Proportion Calc'!$A$5:$P$319,13,FALSE)</f>
        <v>23690</v>
      </c>
      <c r="G187" s="123">
        <f>VLOOKUP($A187,'Change in Proportion Calc'!$A$5:$P$319,16,FALSE)</f>
        <v>21082</v>
      </c>
      <c r="H187" s="167"/>
      <c r="I187" s="123">
        <v>29804</v>
      </c>
      <c r="J187" s="123">
        <v>29804</v>
      </c>
      <c r="K187" s="123">
        <v>29804</v>
      </c>
      <c r="L187" s="123">
        <v>29804</v>
      </c>
      <c r="M187" s="123">
        <v>29209</v>
      </c>
      <c r="N187" s="167"/>
      <c r="O187" s="84">
        <v>-16487</v>
      </c>
      <c r="P187" s="84">
        <v>-16487</v>
      </c>
      <c r="Q187" s="84">
        <v>-16487</v>
      </c>
      <c r="R187" s="85">
        <v>-16156</v>
      </c>
      <c r="S187" s="167"/>
      <c r="T187" s="84">
        <v>-74317</v>
      </c>
      <c r="U187" s="84">
        <v>-74317</v>
      </c>
      <c r="V187" s="85">
        <v>-47562</v>
      </c>
      <c r="X187" s="84">
        <v>-7294</v>
      </c>
      <c r="Y187" s="84">
        <v>-5253</v>
      </c>
      <c r="AA187" s="85">
        <f>VLOOKUP(A187,'Change in Proportion Calc'!$A$5:$H$319,8,FALSE)+I187+O187+T187+X187</f>
        <v>-44605</v>
      </c>
      <c r="AC187" s="84">
        <f t="shared" si="6"/>
        <v>234463</v>
      </c>
      <c r="AD187" s="84">
        <f t="shared" si="7"/>
        <v>176262</v>
      </c>
      <c r="AF187" s="84">
        <f>VLOOKUP(A187,'OPEB Amounts_Report'!$A$10:$G$324,6,FALSE)</f>
        <v>153432</v>
      </c>
      <c r="AG187" s="85">
        <f t="shared" si="8"/>
        <v>81031</v>
      </c>
    </row>
    <row r="188" spans="1:33">
      <c r="A188" s="164">
        <v>3450</v>
      </c>
      <c r="B188" s="168" t="s">
        <v>178</v>
      </c>
      <c r="C188" s="123">
        <f>VLOOKUP($A188,'Change in Proportion Calc'!$A$5:$P$319,12,FALSE)</f>
        <v>-9580</v>
      </c>
      <c r="D188" s="123">
        <f>VLOOKUP($A188,'Change in Proportion Calc'!$A$5:$P$319,13,FALSE)</f>
        <v>-9580</v>
      </c>
      <c r="E188" s="123">
        <f>VLOOKUP($A188,'Change in Proportion Calc'!$A$5:$P$319,13,FALSE)</f>
        <v>-9580</v>
      </c>
      <c r="F188" s="123">
        <f>VLOOKUP($A188,'Change in Proportion Calc'!$A$5:$P$319,13,FALSE)</f>
        <v>-9580</v>
      </c>
      <c r="G188" s="123">
        <f>VLOOKUP($A188,'Change in Proportion Calc'!$A$5:$P$319,16,FALSE)</f>
        <v>-8524</v>
      </c>
      <c r="H188" s="167"/>
      <c r="I188" s="123">
        <v>2672</v>
      </c>
      <c r="J188" s="123">
        <v>2672</v>
      </c>
      <c r="K188" s="123">
        <v>2672</v>
      </c>
      <c r="L188" s="123">
        <v>2672</v>
      </c>
      <c r="M188" s="123">
        <v>2621</v>
      </c>
      <c r="N188" s="167"/>
      <c r="O188" s="84">
        <v>-12279</v>
      </c>
      <c r="P188" s="84">
        <v>-12279</v>
      </c>
      <c r="Q188" s="84">
        <v>-12279</v>
      </c>
      <c r="R188" s="85">
        <v>-12035</v>
      </c>
      <c r="S188" s="167"/>
      <c r="T188" s="84">
        <v>-4366</v>
      </c>
      <c r="U188" s="84">
        <v>-4366</v>
      </c>
      <c r="V188" s="85">
        <v>-2794</v>
      </c>
      <c r="X188" s="84">
        <v>33067</v>
      </c>
      <c r="Y188" s="84">
        <v>23809</v>
      </c>
      <c r="AA188" s="85">
        <f>VLOOKUP(A188,'Change in Proportion Calc'!$A$5:$H$319,8,FALSE)+I188+O188+T188+X188</f>
        <v>9515</v>
      </c>
      <c r="AC188" s="84">
        <f t="shared" si="6"/>
        <v>34446</v>
      </c>
      <c r="AD188" s="84">
        <f t="shared" si="7"/>
        <v>90597</v>
      </c>
      <c r="AF188" s="84">
        <f>VLOOKUP(A188,'OPEB Amounts_Report'!$A$10:$G$324,6,FALSE)</f>
        <v>274614</v>
      </c>
      <c r="AG188" s="85">
        <f t="shared" si="8"/>
        <v>-240168</v>
      </c>
    </row>
    <row r="189" spans="1:33">
      <c r="A189" s="166">
        <v>4310</v>
      </c>
      <c r="B189" s="167" t="s">
        <v>179</v>
      </c>
      <c r="C189" s="123">
        <f>VLOOKUP($A189,'Change in Proportion Calc'!$A$5:$P$319,12,FALSE)</f>
        <v>-23892</v>
      </c>
      <c r="D189" s="123">
        <f>VLOOKUP($A189,'Change in Proportion Calc'!$A$5:$P$319,13,FALSE)</f>
        <v>-23892</v>
      </c>
      <c r="E189" s="123">
        <f>VLOOKUP($A189,'Change in Proportion Calc'!$A$5:$P$319,13,FALSE)</f>
        <v>-23892</v>
      </c>
      <c r="F189" s="123">
        <f>VLOOKUP($A189,'Change in Proportion Calc'!$A$5:$P$319,13,FALSE)</f>
        <v>-23892</v>
      </c>
      <c r="G189" s="123">
        <f>VLOOKUP($A189,'Change in Proportion Calc'!$A$5:$P$319,16,FALSE)</f>
        <v>-21266</v>
      </c>
      <c r="H189" s="167"/>
      <c r="I189" s="123">
        <v>-18628</v>
      </c>
      <c r="J189" s="123">
        <v>-18628</v>
      </c>
      <c r="K189" s="123">
        <v>-18628</v>
      </c>
      <c r="L189" s="123">
        <v>-18628</v>
      </c>
      <c r="M189" s="123">
        <v>-18253</v>
      </c>
      <c r="N189" s="167"/>
      <c r="O189" s="84">
        <v>515</v>
      </c>
      <c r="P189" s="84">
        <v>515</v>
      </c>
      <c r="Q189" s="84">
        <v>515</v>
      </c>
      <c r="R189" s="85">
        <v>506</v>
      </c>
      <c r="S189" s="167"/>
      <c r="T189" s="84">
        <v>27263</v>
      </c>
      <c r="U189" s="84">
        <v>27263</v>
      </c>
      <c r="V189" s="85">
        <v>17446</v>
      </c>
      <c r="X189" s="84">
        <v>27815</v>
      </c>
      <c r="Y189" s="84">
        <v>20029</v>
      </c>
      <c r="AA189" s="85">
        <f>VLOOKUP(A189,'Change in Proportion Calc'!$A$5:$H$319,8,FALSE)+I189+O189+T189+X189</f>
        <v>13072</v>
      </c>
      <c r="AC189" s="84">
        <f t="shared" si="6"/>
        <v>66274</v>
      </c>
      <c r="AD189" s="84">
        <f t="shared" si="7"/>
        <v>190971</v>
      </c>
      <c r="AF189" s="84">
        <f>VLOOKUP(A189,'OPEB Amounts_Report'!$A$10:$G$324,6,FALSE)</f>
        <v>144697</v>
      </c>
      <c r="AG189" s="85">
        <f t="shared" si="8"/>
        <v>-78423</v>
      </c>
    </row>
    <row r="190" spans="1:33">
      <c r="A190" s="164">
        <v>2328</v>
      </c>
      <c r="B190" s="168" t="s">
        <v>180</v>
      </c>
      <c r="C190" s="123">
        <f>VLOOKUP($A190,'Change in Proportion Calc'!$A$5:$P$319,12,FALSE)</f>
        <v>15912</v>
      </c>
      <c r="D190" s="123">
        <f>VLOOKUP($A190,'Change in Proportion Calc'!$A$5:$P$319,13,FALSE)</f>
        <v>15912</v>
      </c>
      <c r="E190" s="123">
        <f>VLOOKUP($A190,'Change in Proportion Calc'!$A$5:$P$319,13,FALSE)</f>
        <v>15912</v>
      </c>
      <c r="F190" s="123">
        <f>VLOOKUP($A190,'Change in Proportion Calc'!$A$5:$P$319,13,FALSE)</f>
        <v>15912</v>
      </c>
      <c r="G190" s="123">
        <f>VLOOKUP($A190,'Change in Proportion Calc'!$A$5:$P$319,16,FALSE)</f>
        <v>14164</v>
      </c>
      <c r="H190" s="167"/>
      <c r="I190" s="123">
        <v>21948</v>
      </c>
      <c r="J190" s="123">
        <v>21948</v>
      </c>
      <c r="K190" s="123">
        <v>21948</v>
      </c>
      <c r="L190" s="123">
        <v>21948</v>
      </c>
      <c r="M190" s="123">
        <v>21510</v>
      </c>
      <c r="N190" s="167"/>
      <c r="O190" s="84">
        <v>-3950</v>
      </c>
      <c r="P190" s="84">
        <v>-3950</v>
      </c>
      <c r="Q190" s="84">
        <v>-3950</v>
      </c>
      <c r="R190" s="85">
        <v>-3871</v>
      </c>
      <c r="S190" s="167"/>
      <c r="T190" s="84">
        <v>64518</v>
      </c>
      <c r="U190" s="84">
        <v>64518</v>
      </c>
      <c r="V190" s="85">
        <v>41291</v>
      </c>
      <c r="X190" s="84">
        <v>-127989</v>
      </c>
      <c r="Y190" s="84">
        <v>-92154</v>
      </c>
      <c r="AA190" s="85">
        <f>VLOOKUP(A190,'Change in Proportion Calc'!$A$5:$H$319,8,FALSE)+I190+O190+T190+X190</f>
        <v>-29560</v>
      </c>
      <c r="AC190" s="84">
        <f t="shared" si="6"/>
        <v>270975</v>
      </c>
      <c r="AD190" s="84">
        <f t="shared" si="7"/>
        <v>103925</v>
      </c>
      <c r="AF190" s="84">
        <f>VLOOKUP(A190,'OPEB Amounts_Report'!$A$10:$G$324,6,FALSE)</f>
        <v>271943</v>
      </c>
      <c r="AG190" s="85">
        <f t="shared" si="8"/>
        <v>-968</v>
      </c>
    </row>
    <row r="191" spans="1:33">
      <c r="A191" s="166">
        <v>12151</v>
      </c>
      <c r="B191" s="167" t="s">
        <v>181</v>
      </c>
      <c r="C191" s="123">
        <f>VLOOKUP($A191,'Change in Proportion Calc'!$A$5:$P$319,12,FALSE)</f>
        <v>-9688</v>
      </c>
      <c r="D191" s="123">
        <f>VLOOKUP($A191,'Change in Proportion Calc'!$A$5:$P$319,13,FALSE)</f>
        <v>-9688</v>
      </c>
      <c r="E191" s="123">
        <f>VLOOKUP($A191,'Change in Proportion Calc'!$A$5:$P$319,13,FALSE)</f>
        <v>-9688</v>
      </c>
      <c r="F191" s="123">
        <f>VLOOKUP($A191,'Change in Proportion Calc'!$A$5:$P$319,13,FALSE)</f>
        <v>-9688</v>
      </c>
      <c r="G191" s="123">
        <f>VLOOKUP($A191,'Change in Proportion Calc'!$A$5:$P$319,16,FALSE)</f>
        <v>-8621</v>
      </c>
      <c r="H191" s="167"/>
      <c r="I191" s="123">
        <v>7937</v>
      </c>
      <c r="J191" s="123">
        <v>7937</v>
      </c>
      <c r="K191" s="123">
        <v>7937</v>
      </c>
      <c r="L191" s="123">
        <v>7937</v>
      </c>
      <c r="M191" s="123">
        <v>7778</v>
      </c>
      <c r="N191" s="167"/>
      <c r="O191" s="84">
        <v>-33489</v>
      </c>
      <c r="P191" s="84">
        <v>-33489</v>
      </c>
      <c r="Q191" s="84">
        <v>-33489</v>
      </c>
      <c r="R191" s="85">
        <v>-32819</v>
      </c>
      <c r="S191" s="167"/>
      <c r="T191" s="84">
        <v>-48509</v>
      </c>
      <c r="U191" s="84">
        <v>-48509</v>
      </c>
      <c r="V191" s="85">
        <v>-31048</v>
      </c>
      <c r="X191" s="84">
        <v>-17506</v>
      </c>
      <c r="Y191" s="84">
        <v>-12605</v>
      </c>
      <c r="AA191" s="85">
        <f>VLOOKUP(A191,'Change in Proportion Calc'!$A$5:$H$319,8,FALSE)+I191+O191+T191+X191</f>
        <v>-101255</v>
      </c>
      <c r="AC191" s="84">
        <f t="shared" si="6"/>
        <v>31589</v>
      </c>
      <c r="AD191" s="84">
        <f t="shared" si="7"/>
        <v>239332</v>
      </c>
      <c r="AF191" s="84">
        <f>VLOOKUP(A191,'OPEB Amounts_Report'!$A$10:$G$324,6,FALSE)</f>
        <v>80008</v>
      </c>
      <c r="AG191" s="85">
        <f t="shared" si="8"/>
        <v>-48419</v>
      </c>
    </row>
    <row r="192" spans="1:33">
      <c r="A192" s="164">
        <v>32110</v>
      </c>
      <c r="B192" s="168" t="s">
        <v>182</v>
      </c>
      <c r="C192" s="123">
        <f>VLOOKUP($A192,'Change in Proportion Calc'!$A$5:$P$319,12,FALSE)</f>
        <v>-58882</v>
      </c>
      <c r="D192" s="123">
        <f>VLOOKUP($A192,'Change in Proportion Calc'!$A$5:$P$319,13,FALSE)</f>
        <v>-58882</v>
      </c>
      <c r="E192" s="123">
        <f>VLOOKUP($A192,'Change in Proportion Calc'!$A$5:$P$319,13,FALSE)</f>
        <v>-58882</v>
      </c>
      <c r="F192" s="123">
        <f>VLOOKUP($A192,'Change in Proportion Calc'!$A$5:$P$319,13,FALSE)</f>
        <v>-58882</v>
      </c>
      <c r="G192" s="123">
        <f>VLOOKUP($A192,'Change in Proportion Calc'!$A$5:$P$319,16,FALSE)</f>
        <v>-52406</v>
      </c>
      <c r="H192" s="167"/>
      <c r="I192" s="123">
        <v>102371</v>
      </c>
      <c r="J192" s="123">
        <v>102371</v>
      </c>
      <c r="K192" s="123">
        <v>102371</v>
      </c>
      <c r="L192" s="123">
        <v>102371</v>
      </c>
      <c r="M192" s="123">
        <v>100322</v>
      </c>
      <c r="N192" s="167"/>
      <c r="O192" s="84">
        <v>95916</v>
      </c>
      <c r="P192" s="84">
        <v>95916</v>
      </c>
      <c r="Q192" s="84">
        <v>95916</v>
      </c>
      <c r="R192" s="85">
        <v>93996</v>
      </c>
      <c r="S192" s="167"/>
      <c r="T192" s="84">
        <v>-26486</v>
      </c>
      <c r="U192" s="84">
        <v>-26486</v>
      </c>
      <c r="V192" s="85">
        <v>-16953</v>
      </c>
      <c r="X192" s="84">
        <v>87142</v>
      </c>
      <c r="Y192" s="84">
        <v>62741</v>
      </c>
      <c r="AA192" s="85">
        <f>VLOOKUP(A192,'Change in Proportion Calc'!$A$5:$H$319,8,FALSE)+I192+O192+T192+X192</f>
        <v>200061</v>
      </c>
      <c r="AC192" s="84">
        <f t="shared" si="6"/>
        <v>756004</v>
      </c>
      <c r="AD192" s="84">
        <f t="shared" si="7"/>
        <v>331373</v>
      </c>
      <c r="AF192" s="84">
        <f>VLOOKUP(A192,'OPEB Amounts_Report'!$A$10:$G$324,6,FALSE)</f>
        <v>959915</v>
      </c>
      <c r="AG192" s="85">
        <f t="shared" si="8"/>
        <v>-203911</v>
      </c>
    </row>
    <row r="193" spans="1:33">
      <c r="A193" s="164">
        <v>2870</v>
      </c>
      <c r="B193" s="168" t="s">
        <v>184</v>
      </c>
      <c r="C193" s="123">
        <f>VLOOKUP($A193,'Change in Proportion Calc'!$A$5:$P$319,12,FALSE)</f>
        <v>13544</v>
      </c>
      <c r="D193" s="123">
        <f>VLOOKUP($A193,'Change in Proportion Calc'!$A$5:$P$319,13,FALSE)</f>
        <v>13544</v>
      </c>
      <c r="E193" s="123">
        <f>VLOOKUP($A193,'Change in Proportion Calc'!$A$5:$P$319,13,FALSE)</f>
        <v>13544</v>
      </c>
      <c r="F193" s="123">
        <f>VLOOKUP($A193,'Change in Proportion Calc'!$A$5:$P$319,13,FALSE)</f>
        <v>13544</v>
      </c>
      <c r="G193" s="123">
        <f>VLOOKUP($A193,'Change in Proportion Calc'!$A$5:$P$319,16,FALSE)</f>
        <v>12052</v>
      </c>
      <c r="H193" s="167"/>
      <c r="I193" s="123">
        <v>2430</v>
      </c>
      <c r="J193" s="123">
        <v>2430</v>
      </c>
      <c r="K193" s="123">
        <v>2430</v>
      </c>
      <c r="L193" s="123">
        <v>2430</v>
      </c>
      <c r="M193" s="123">
        <v>2380</v>
      </c>
      <c r="N193" s="167"/>
      <c r="O193" s="84">
        <v>-17002</v>
      </c>
      <c r="P193" s="84">
        <v>-17002</v>
      </c>
      <c r="Q193" s="84">
        <v>-17002</v>
      </c>
      <c r="R193" s="85">
        <v>-16662</v>
      </c>
      <c r="S193" s="167"/>
      <c r="T193" s="84">
        <v>2231</v>
      </c>
      <c r="U193" s="84">
        <v>2231</v>
      </c>
      <c r="V193" s="85">
        <v>1430</v>
      </c>
      <c r="X193" s="84">
        <v>26357</v>
      </c>
      <c r="Y193" s="84">
        <v>18975</v>
      </c>
      <c r="AA193" s="85">
        <f>VLOOKUP(A193,'Change in Proportion Calc'!$A$5:$H$319,8,FALSE)+I193+O193+T193+X193</f>
        <v>27560</v>
      </c>
      <c r="AC193" s="84">
        <f t="shared" si="6"/>
        <v>98534</v>
      </c>
      <c r="AD193" s="84">
        <f t="shared" si="7"/>
        <v>50666</v>
      </c>
      <c r="AF193" s="84">
        <f>VLOOKUP(A193,'OPEB Amounts_Report'!$A$10:$G$324,6,FALSE)</f>
        <v>167930</v>
      </c>
      <c r="AG193" s="85">
        <f t="shared" si="8"/>
        <v>-69396</v>
      </c>
    </row>
    <row r="194" spans="1:33">
      <c r="A194" s="166">
        <v>29150</v>
      </c>
      <c r="B194" s="167" t="s">
        <v>185</v>
      </c>
      <c r="C194" s="123">
        <f>VLOOKUP($A194,'Change in Proportion Calc'!$A$5:$P$319,12,FALSE)</f>
        <v>-9308</v>
      </c>
      <c r="D194" s="123">
        <f>VLOOKUP($A194,'Change in Proportion Calc'!$A$5:$P$319,13,FALSE)</f>
        <v>-9308</v>
      </c>
      <c r="E194" s="123">
        <f>VLOOKUP($A194,'Change in Proportion Calc'!$A$5:$P$319,13,FALSE)</f>
        <v>-9308</v>
      </c>
      <c r="F194" s="123">
        <f>VLOOKUP($A194,'Change in Proportion Calc'!$A$5:$P$319,13,FALSE)</f>
        <v>-9308</v>
      </c>
      <c r="G194" s="123">
        <f>VLOOKUP($A194,'Change in Proportion Calc'!$A$5:$P$319,16,FALSE)</f>
        <v>-8283</v>
      </c>
      <c r="H194" s="167"/>
      <c r="I194" s="123">
        <v>-10771</v>
      </c>
      <c r="J194" s="123">
        <v>-10771</v>
      </c>
      <c r="K194" s="123">
        <v>-10771</v>
      </c>
      <c r="L194" s="123">
        <v>-10771</v>
      </c>
      <c r="M194" s="123">
        <v>-10558</v>
      </c>
      <c r="N194" s="167"/>
      <c r="O194" s="84">
        <v>-9532</v>
      </c>
      <c r="P194" s="84">
        <v>-9532</v>
      </c>
      <c r="Q194" s="84">
        <v>-9532</v>
      </c>
      <c r="R194" s="85">
        <v>-9339</v>
      </c>
      <c r="S194" s="167"/>
      <c r="T194" s="84">
        <v>-2814</v>
      </c>
      <c r="U194" s="84">
        <v>-2814</v>
      </c>
      <c r="V194" s="85">
        <v>-1799</v>
      </c>
      <c r="X194" s="84">
        <v>43571</v>
      </c>
      <c r="Y194" s="84">
        <v>31371</v>
      </c>
      <c r="AA194" s="85">
        <f>VLOOKUP(A194,'Change in Proportion Calc'!$A$5:$H$319,8,FALSE)+I194+O194+T194+X194</f>
        <v>11146</v>
      </c>
      <c r="AC194" s="84">
        <f t="shared" si="6"/>
        <v>31371</v>
      </c>
      <c r="AD194" s="84">
        <f t="shared" si="7"/>
        <v>121402</v>
      </c>
      <c r="AF194" s="84">
        <f>VLOOKUP(A194,'OPEB Amounts_Report'!$A$10:$G$324,6,FALSE)</f>
        <v>42378</v>
      </c>
      <c r="AG194" s="85">
        <f t="shared" si="8"/>
        <v>-11007</v>
      </c>
    </row>
    <row r="195" spans="1:33">
      <c r="A195" s="164">
        <v>2311</v>
      </c>
      <c r="B195" s="168" t="s">
        <v>186</v>
      </c>
      <c r="C195" s="123">
        <f>VLOOKUP($A195,'Change in Proportion Calc'!$A$5:$P$319,12,FALSE)</f>
        <v>24597</v>
      </c>
      <c r="D195" s="123">
        <f>VLOOKUP($A195,'Change in Proportion Calc'!$A$5:$P$319,13,FALSE)</f>
        <v>24597</v>
      </c>
      <c r="E195" s="123">
        <f>VLOOKUP($A195,'Change in Proportion Calc'!$A$5:$P$319,13,FALSE)</f>
        <v>24597</v>
      </c>
      <c r="F195" s="123">
        <f>VLOOKUP($A195,'Change in Proportion Calc'!$A$5:$P$319,13,FALSE)</f>
        <v>24597</v>
      </c>
      <c r="G195" s="123">
        <f>VLOOKUP($A195,'Change in Proportion Calc'!$A$5:$P$319,16,FALSE)</f>
        <v>21892</v>
      </c>
      <c r="H195" s="167"/>
      <c r="I195" s="123">
        <v>-25836</v>
      </c>
      <c r="J195" s="123">
        <v>-25836</v>
      </c>
      <c r="K195" s="123">
        <v>-25836</v>
      </c>
      <c r="L195" s="123">
        <v>-25836</v>
      </c>
      <c r="M195" s="123">
        <v>-25317</v>
      </c>
      <c r="N195" s="167"/>
      <c r="O195" s="84">
        <v>44738</v>
      </c>
      <c r="P195" s="84">
        <v>44738</v>
      </c>
      <c r="Q195" s="84">
        <v>44738</v>
      </c>
      <c r="R195" s="85">
        <v>43842</v>
      </c>
      <c r="S195" s="167"/>
      <c r="T195" s="84">
        <v>-8829</v>
      </c>
      <c r="U195" s="84">
        <v>-8829</v>
      </c>
      <c r="V195" s="85">
        <v>-5649</v>
      </c>
      <c r="X195" s="84">
        <v>28788</v>
      </c>
      <c r="Y195" s="84">
        <v>20727</v>
      </c>
      <c r="AA195" s="85">
        <f>VLOOKUP(A195,'Change in Proportion Calc'!$A$5:$H$319,8,FALSE)+I195+O195+T195+X195</f>
        <v>63458</v>
      </c>
      <c r="AC195" s="84">
        <f t="shared" si="6"/>
        <v>274325</v>
      </c>
      <c r="AD195" s="84">
        <f t="shared" si="7"/>
        <v>117303</v>
      </c>
      <c r="AF195" s="84">
        <f>VLOOKUP(A195,'OPEB Amounts_Report'!$A$10:$G$324,6,FALSE)</f>
        <v>148853</v>
      </c>
      <c r="AG195" s="85">
        <f t="shared" si="8"/>
        <v>125472</v>
      </c>
    </row>
    <row r="196" spans="1:33">
      <c r="A196" s="166">
        <v>32118</v>
      </c>
      <c r="B196" s="167" t="s">
        <v>187</v>
      </c>
      <c r="C196" s="123">
        <f>VLOOKUP($A196,'Change in Proportion Calc'!$A$5:$P$319,12,FALSE)</f>
        <v>74427</v>
      </c>
      <c r="D196" s="123">
        <f>VLOOKUP($A196,'Change in Proportion Calc'!$A$5:$P$319,13,FALSE)</f>
        <v>74427</v>
      </c>
      <c r="E196" s="123">
        <f>VLOOKUP($A196,'Change in Proportion Calc'!$A$5:$P$319,13,FALSE)</f>
        <v>74427</v>
      </c>
      <c r="F196" s="123">
        <f>VLOOKUP($A196,'Change in Proportion Calc'!$A$5:$P$319,13,FALSE)</f>
        <v>74427</v>
      </c>
      <c r="G196" s="123">
        <f>VLOOKUP($A196,'Change in Proportion Calc'!$A$5:$P$319,16,FALSE)</f>
        <v>66238</v>
      </c>
      <c r="H196" s="167"/>
      <c r="I196" s="123">
        <v>351332</v>
      </c>
      <c r="J196" s="123">
        <v>351332</v>
      </c>
      <c r="K196" s="123">
        <v>351332</v>
      </c>
      <c r="L196" s="123">
        <v>351332</v>
      </c>
      <c r="M196" s="123">
        <v>344307</v>
      </c>
      <c r="N196" s="167"/>
      <c r="O196" s="84">
        <v>121762</v>
      </c>
      <c r="P196" s="84">
        <v>121762</v>
      </c>
      <c r="Q196" s="84">
        <v>121762</v>
      </c>
      <c r="R196" s="85">
        <v>119329</v>
      </c>
      <c r="S196" s="167"/>
      <c r="T196" s="84">
        <v>107497</v>
      </c>
      <c r="U196" s="84">
        <v>107497</v>
      </c>
      <c r="V196" s="85">
        <v>68800</v>
      </c>
      <c r="X196" s="84">
        <v>99104</v>
      </c>
      <c r="Y196" s="84">
        <v>71357</v>
      </c>
      <c r="AA196" s="85">
        <f>VLOOKUP(A196,'Change in Proportion Calc'!$A$5:$H$319,8,FALSE)+I196+O196+T196+X196</f>
        <v>754122</v>
      </c>
      <c r="AC196" s="84">
        <f t="shared" si="6"/>
        <v>2372756</v>
      </c>
      <c r="AD196" s="84">
        <f t="shared" si="7"/>
        <v>0</v>
      </c>
      <c r="AF196" s="84">
        <f>VLOOKUP(A196,'OPEB Amounts_Report'!$A$10:$G$324,6,FALSE)</f>
        <v>509029</v>
      </c>
      <c r="AG196" s="85">
        <f t="shared" si="8"/>
        <v>1863727</v>
      </c>
    </row>
    <row r="197" spans="1:33">
      <c r="A197" s="164">
        <v>12039</v>
      </c>
      <c r="B197" s="168" t="s">
        <v>188</v>
      </c>
      <c r="C197" s="123">
        <f>VLOOKUP($A197,'Change in Proportion Calc'!$A$5:$P$319,12,FALSE)</f>
        <v>-4528</v>
      </c>
      <c r="D197" s="123">
        <f>VLOOKUP($A197,'Change in Proportion Calc'!$A$5:$P$319,13,FALSE)</f>
        <v>-4528</v>
      </c>
      <c r="E197" s="123">
        <f>VLOOKUP($A197,'Change in Proportion Calc'!$A$5:$P$319,13,FALSE)</f>
        <v>-4528</v>
      </c>
      <c r="F197" s="123">
        <f>VLOOKUP($A197,'Change in Proportion Calc'!$A$5:$P$319,13,FALSE)</f>
        <v>-4528</v>
      </c>
      <c r="G197" s="123">
        <f>VLOOKUP($A197,'Change in Proportion Calc'!$A$5:$P$319,16,FALSE)</f>
        <v>-4029</v>
      </c>
      <c r="H197" s="167"/>
      <c r="I197" s="123">
        <v>-36931</v>
      </c>
      <c r="J197" s="123">
        <v>-36931</v>
      </c>
      <c r="K197" s="123">
        <v>-36931</v>
      </c>
      <c r="L197" s="123">
        <v>-36931</v>
      </c>
      <c r="M197" s="123">
        <v>-36194</v>
      </c>
      <c r="N197" s="167"/>
      <c r="O197" s="84">
        <v>-58992</v>
      </c>
      <c r="P197" s="84">
        <v>-58992</v>
      </c>
      <c r="Q197" s="84">
        <v>-58992</v>
      </c>
      <c r="R197" s="85">
        <v>-57813</v>
      </c>
      <c r="S197" s="167"/>
      <c r="T197" s="84">
        <v>6209</v>
      </c>
      <c r="U197" s="84">
        <v>6209</v>
      </c>
      <c r="V197" s="85">
        <v>3975</v>
      </c>
      <c r="X197" s="84">
        <v>-7392</v>
      </c>
      <c r="Y197" s="84">
        <v>-5320</v>
      </c>
      <c r="AA197" s="85">
        <f>VLOOKUP(A197,'Change in Proportion Calc'!$A$5:$H$319,8,FALSE)+I197+O197+T197+X197</f>
        <v>-101634</v>
      </c>
      <c r="AC197" s="84">
        <f t="shared" si="6"/>
        <v>10184</v>
      </c>
      <c r="AD197" s="84">
        <f t="shared" si="7"/>
        <v>350245</v>
      </c>
      <c r="AF197" s="84">
        <f>VLOOKUP(A197,'OPEB Amounts_Report'!$A$10:$G$324,6,FALSE)</f>
        <v>428788</v>
      </c>
      <c r="AG197" s="85">
        <f t="shared" si="8"/>
        <v>-418604</v>
      </c>
    </row>
    <row r="198" spans="1:33">
      <c r="A198" s="166">
        <v>12150</v>
      </c>
      <c r="B198" s="167" t="s">
        <v>189</v>
      </c>
      <c r="C198" s="123">
        <f>VLOOKUP($A198,'Change in Proportion Calc'!$A$5:$P$319,12,FALSE)</f>
        <v>-5426</v>
      </c>
      <c r="D198" s="123">
        <f>VLOOKUP($A198,'Change in Proportion Calc'!$A$5:$P$319,13,FALSE)</f>
        <v>-5426</v>
      </c>
      <c r="E198" s="123">
        <f>VLOOKUP($A198,'Change in Proportion Calc'!$A$5:$P$319,13,FALSE)</f>
        <v>-5426</v>
      </c>
      <c r="F198" s="123">
        <f>VLOOKUP($A198,'Change in Proportion Calc'!$A$5:$P$319,13,FALSE)</f>
        <v>-5426</v>
      </c>
      <c r="G198" s="123">
        <f>VLOOKUP($A198,'Change in Proportion Calc'!$A$5:$P$319,16,FALSE)</f>
        <v>-4830</v>
      </c>
      <c r="H198" s="167"/>
      <c r="I198" s="123">
        <v>-15469</v>
      </c>
      <c r="J198" s="123">
        <v>-15469</v>
      </c>
      <c r="K198" s="123">
        <v>-15469</v>
      </c>
      <c r="L198" s="123">
        <v>-15469</v>
      </c>
      <c r="M198" s="123">
        <v>-15160</v>
      </c>
      <c r="N198" s="167"/>
      <c r="O198" s="84">
        <v>9617</v>
      </c>
      <c r="P198" s="84">
        <v>9617</v>
      </c>
      <c r="Q198" s="84">
        <v>9617</v>
      </c>
      <c r="R198" s="85">
        <v>9427</v>
      </c>
      <c r="S198" s="167"/>
      <c r="T198" s="84">
        <v>16493</v>
      </c>
      <c r="U198" s="84">
        <v>16493</v>
      </c>
      <c r="V198" s="85">
        <v>10557</v>
      </c>
      <c r="X198" s="84">
        <v>34721</v>
      </c>
      <c r="Y198" s="84">
        <v>24997</v>
      </c>
      <c r="AA198" s="85">
        <f>VLOOKUP(A198,'Change in Proportion Calc'!$A$5:$H$319,8,FALSE)+I198+O198+T198+X198</f>
        <v>39936</v>
      </c>
      <c r="AC198" s="84">
        <f t="shared" si="6"/>
        <v>80708</v>
      </c>
      <c r="AD198" s="84">
        <f t="shared" si="7"/>
        <v>88101</v>
      </c>
      <c r="AF198" s="84">
        <f>VLOOKUP(A198,'OPEB Amounts_Report'!$A$10:$G$324,6,FALSE)</f>
        <v>80163</v>
      </c>
      <c r="AG198" s="85">
        <f t="shared" si="8"/>
        <v>545</v>
      </c>
    </row>
    <row r="199" spans="1:33">
      <c r="A199" s="164">
        <v>20060</v>
      </c>
      <c r="B199" s="168" t="s">
        <v>190</v>
      </c>
      <c r="C199" s="123">
        <f>VLOOKUP($A199,'Change in Proportion Calc'!$A$5:$P$319,12,FALSE)</f>
        <v>31272</v>
      </c>
      <c r="D199" s="123">
        <f>VLOOKUP($A199,'Change in Proportion Calc'!$A$5:$P$319,13,FALSE)</f>
        <v>31272</v>
      </c>
      <c r="E199" s="123">
        <f>VLOOKUP($A199,'Change in Proportion Calc'!$A$5:$P$319,13,FALSE)</f>
        <v>31272</v>
      </c>
      <c r="F199" s="123">
        <f>VLOOKUP($A199,'Change in Proportion Calc'!$A$5:$P$319,13,FALSE)</f>
        <v>31272</v>
      </c>
      <c r="G199" s="123">
        <f>VLOOKUP($A199,'Change in Proportion Calc'!$A$5:$P$319,16,FALSE)</f>
        <v>27832</v>
      </c>
      <c r="H199" s="167"/>
      <c r="I199" s="123">
        <v>-24216</v>
      </c>
      <c r="J199" s="123">
        <v>-24216</v>
      </c>
      <c r="K199" s="123">
        <v>-24216</v>
      </c>
      <c r="L199" s="123">
        <v>-24216</v>
      </c>
      <c r="M199" s="123">
        <v>-23731</v>
      </c>
      <c r="N199" s="167"/>
      <c r="O199" s="84">
        <v>-24988</v>
      </c>
      <c r="P199" s="84">
        <v>-24988</v>
      </c>
      <c r="Q199" s="84">
        <v>-24988</v>
      </c>
      <c r="R199" s="85">
        <v>-24488</v>
      </c>
      <c r="S199" s="167"/>
      <c r="T199" s="84">
        <v>-187150</v>
      </c>
      <c r="U199" s="84">
        <v>-187150</v>
      </c>
      <c r="V199" s="85">
        <v>-119778</v>
      </c>
      <c r="X199" s="84">
        <v>356931</v>
      </c>
      <c r="Y199" s="84">
        <v>256992</v>
      </c>
      <c r="AA199" s="85">
        <f>VLOOKUP(A199,'Change in Proportion Calc'!$A$5:$H$319,8,FALSE)+I199+O199+T199+X199</f>
        <v>151849</v>
      </c>
      <c r="AC199" s="84">
        <f t="shared" si="6"/>
        <v>409912</v>
      </c>
      <c r="AD199" s="84">
        <f t="shared" si="7"/>
        <v>477771</v>
      </c>
      <c r="AF199" s="84">
        <f>VLOOKUP(A199,'OPEB Amounts_Report'!$A$10:$G$324,6,FALSE)</f>
        <v>327086</v>
      </c>
      <c r="AG199" s="85">
        <f t="shared" si="8"/>
        <v>82826</v>
      </c>
    </row>
    <row r="200" spans="1:33">
      <c r="A200" s="166">
        <v>1001</v>
      </c>
      <c r="B200" s="167" t="s">
        <v>191</v>
      </c>
      <c r="C200" s="123">
        <f>VLOOKUP($A200,'Change in Proportion Calc'!$A$5:$P$319,12,FALSE)</f>
        <v>160022</v>
      </c>
      <c r="D200" s="123">
        <f>VLOOKUP($A200,'Change in Proportion Calc'!$A$5:$P$319,13,FALSE)</f>
        <v>160022</v>
      </c>
      <c r="E200" s="123">
        <f>VLOOKUP($A200,'Change in Proportion Calc'!$A$5:$P$319,13,FALSE)</f>
        <v>160022</v>
      </c>
      <c r="F200" s="123">
        <f>VLOOKUP($A200,'Change in Proportion Calc'!$A$5:$P$319,13,FALSE)</f>
        <v>160022</v>
      </c>
      <c r="G200" s="123">
        <f>VLOOKUP($A200,'Change in Proportion Calc'!$A$5:$P$319,16,FALSE)</f>
        <v>142418</v>
      </c>
      <c r="H200" s="167"/>
      <c r="I200" s="123">
        <v>-411750</v>
      </c>
      <c r="J200" s="123">
        <v>-411750</v>
      </c>
      <c r="K200" s="123">
        <v>-411750</v>
      </c>
      <c r="L200" s="123">
        <v>-411750</v>
      </c>
      <c r="M200" s="123">
        <v>-403517</v>
      </c>
      <c r="N200" s="167"/>
      <c r="O200" s="84">
        <v>-42935</v>
      </c>
      <c r="P200" s="84">
        <v>-42935</v>
      </c>
      <c r="Q200" s="84">
        <v>-42935</v>
      </c>
      <c r="R200" s="85">
        <v>-42074</v>
      </c>
      <c r="S200" s="167"/>
      <c r="T200" s="84">
        <v>-230033</v>
      </c>
      <c r="U200" s="84">
        <v>-230033</v>
      </c>
      <c r="V200" s="85">
        <v>-147220</v>
      </c>
      <c r="X200" s="84">
        <v>364420</v>
      </c>
      <c r="Y200" s="84">
        <v>262383</v>
      </c>
      <c r="AA200" s="85">
        <f>VLOOKUP(A200,'Change in Proportion Calc'!$A$5:$H$319,8,FALSE)+I200+O200+T200+X200</f>
        <v>-160276</v>
      </c>
      <c r="AC200" s="84">
        <f t="shared" si="6"/>
        <v>1044889</v>
      </c>
      <c r="AD200" s="84">
        <f t="shared" si="7"/>
        <v>2143964</v>
      </c>
      <c r="AF200" s="84">
        <f>VLOOKUP(A200,'OPEB Amounts_Report'!$A$10:$G$324,6,FALSE)</f>
        <v>955603</v>
      </c>
      <c r="AG200" s="85">
        <f t="shared" si="8"/>
        <v>89286</v>
      </c>
    </row>
    <row r="201" spans="1:33">
      <c r="A201" s="164">
        <v>11035</v>
      </c>
      <c r="B201" s="168" t="s">
        <v>192</v>
      </c>
      <c r="C201" s="123">
        <f>VLOOKUP($A201,'Change in Proportion Calc'!$A$5:$P$319,12,FALSE)</f>
        <v>-56445</v>
      </c>
      <c r="D201" s="123">
        <f>VLOOKUP($A201,'Change in Proportion Calc'!$A$5:$P$319,13,FALSE)</f>
        <v>-56445</v>
      </c>
      <c r="E201" s="123">
        <f>VLOOKUP($A201,'Change in Proportion Calc'!$A$5:$P$319,13,FALSE)</f>
        <v>-56445</v>
      </c>
      <c r="F201" s="123">
        <f>VLOOKUP($A201,'Change in Proportion Calc'!$A$5:$P$319,13,FALSE)</f>
        <v>-56445</v>
      </c>
      <c r="G201" s="123">
        <f>VLOOKUP($A201,'Change in Proportion Calc'!$A$5:$P$319,16,FALSE)</f>
        <v>-50238</v>
      </c>
      <c r="H201" s="167"/>
      <c r="I201" s="123">
        <v>113061</v>
      </c>
      <c r="J201" s="123">
        <v>113061</v>
      </c>
      <c r="K201" s="123">
        <v>113061</v>
      </c>
      <c r="L201" s="123">
        <v>113061</v>
      </c>
      <c r="M201" s="123">
        <v>110801</v>
      </c>
      <c r="N201" s="167"/>
      <c r="O201" s="84">
        <v>136274</v>
      </c>
      <c r="P201" s="84">
        <v>136274</v>
      </c>
      <c r="Q201" s="84">
        <v>136274</v>
      </c>
      <c r="R201" s="85">
        <v>133550</v>
      </c>
      <c r="S201" s="167"/>
      <c r="T201" s="84">
        <v>193263</v>
      </c>
      <c r="U201" s="84">
        <v>193263</v>
      </c>
      <c r="V201" s="85">
        <v>123686</v>
      </c>
      <c r="X201" s="84">
        <v>-54367</v>
      </c>
      <c r="Y201" s="84">
        <v>-39142</v>
      </c>
      <c r="AA201" s="85">
        <f>VLOOKUP(A201,'Change in Proportion Calc'!$A$5:$H$319,8,FALSE)+I201+O201+T201+X201</f>
        <v>331785</v>
      </c>
      <c r="AC201" s="84">
        <f t="shared" ref="AC201:AC264" si="9">IF(SUM(C201:G201)&gt;0,SUM(C201:G201),0)+IF(SUM(J201:M201)&gt;0,SUM(J201:M201),0)+IF(SUM(P201:R201)&gt;0,SUM(P201:R201),0)+IF(SUM(U201:V201)&gt;0,SUM(U201:V201),0)+IF(SUM(Y201)&gt;0,SUM(Y201),0)</f>
        <v>1173031</v>
      </c>
      <c r="AD201" s="84">
        <f t="shared" ref="AD201:AD264" si="10">IF(SUM(C201:G201)&lt;0,-SUM(C201:G201),0)+IF(SUM(J201:M201)&lt;0,-SUM(J201:M201),0)+IF(SUM(P201:R201)&lt;0,-SUM(P201:R201),0)+IF(SUM(U201:V201)&lt;0,-SUM(U201:V201),0)+IF(SUM(Y201)&lt;0,-SUM(Y201),0)</f>
        <v>315160</v>
      </c>
      <c r="AF201" s="84">
        <f>VLOOKUP(A201,'OPEB Amounts_Report'!$A$10:$G$324,6,FALSE)</f>
        <v>1925715</v>
      </c>
      <c r="AG201" s="85">
        <f t="shared" si="8"/>
        <v>-752684</v>
      </c>
    </row>
    <row r="202" spans="1:33">
      <c r="A202" s="166">
        <v>2320</v>
      </c>
      <c r="B202" s="167" t="s">
        <v>193</v>
      </c>
      <c r="C202" s="123">
        <f>VLOOKUP($A202,'Change in Proportion Calc'!$A$5:$P$319,12,FALSE)</f>
        <v>-18322</v>
      </c>
      <c r="D202" s="123">
        <f>VLOOKUP($A202,'Change in Proportion Calc'!$A$5:$P$319,13,FALSE)</f>
        <v>-18322</v>
      </c>
      <c r="E202" s="123">
        <f>VLOOKUP($A202,'Change in Proportion Calc'!$A$5:$P$319,13,FALSE)</f>
        <v>-18322</v>
      </c>
      <c r="F202" s="123">
        <f>VLOOKUP($A202,'Change in Proportion Calc'!$A$5:$P$319,13,FALSE)</f>
        <v>-18322</v>
      </c>
      <c r="G202" s="123">
        <f>VLOOKUP($A202,'Change in Proportion Calc'!$A$5:$P$319,16,FALSE)</f>
        <v>-16305</v>
      </c>
      <c r="H202" s="167"/>
      <c r="I202" s="123">
        <v>3888</v>
      </c>
      <c r="J202" s="123">
        <v>3888</v>
      </c>
      <c r="K202" s="123">
        <v>3888</v>
      </c>
      <c r="L202" s="123">
        <v>3888</v>
      </c>
      <c r="M202" s="123">
        <v>3808</v>
      </c>
      <c r="N202" s="167"/>
      <c r="O202" s="84">
        <v>13224</v>
      </c>
      <c r="P202" s="84">
        <v>13224</v>
      </c>
      <c r="Q202" s="84">
        <v>13224</v>
      </c>
      <c r="R202" s="85">
        <v>12959</v>
      </c>
      <c r="S202" s="167"/>
      <c r="T202" s="84">
        <v>-8344</v>
      </c>
      <c r="U202" s="84">
        <v>-8344</v>
      </c>
      <c r="V202" s="85">
        <v>-5338</v>
      </c>
      <c r="X202" s="84">
        <v>-5641</v>
      </c>
      <c r="Y202" s="84">
        <v>-4061</v>
      </c>
      <c r="AA202" s="85">
        <f>VLOOKUP(A202,'Change in Proportion Calc'!$A$5:$H$319,8,FALSE)+I202+O202+T202+X202</f>
        <v>-15195</v>
      </c>
      <c r="AC202" s="84">
        <f t="shared" si="9"/>
        <v>54879</v>
      </c>
      <c r="AD202" s="84">
        <f t="shared" si="10"/>
        <v>107336</v>
      </c>
      <c r="AF202" s="84">
        <f>VLOOKUP(A202,'OPEB Amounts_Report'!$A$10:$G$324,6,FALSE)</f>
        <v>223700</v>
      </c>
      <c r="AG202" s="85">
        <f t="shared" ref="AG202:AG265" si="11">+AC202-AF202</f>
        <v>-168821</v>
      </c>
    </row>
    <row r="203" spans="1:33">
      <c r="A203" s="164">
        <v>28084</v>
      </c>
      <c r="B203" s="168" t="s">
        <v>194</v>
      </c>
      <c r="C203" s="123">
        <f>VLOOKUP($A203,'Change in Proportion Calc'!$A$5:$P$319,12,FALSE)</f>
        <v>7845</v>
      </c>
      <c r="D203" s="123">
        <f>VLOOKUP($A203,'Change in Proportion Calc'!$A$5:$P$319,13,FALSE)</f>
        <v>7845</v>
      </c>
      <c r="E203" s="123">
        <f>VLOOKUP($A203,'Change in Proportion Calc'!$A$5:$P$319,13,FALSE)</f>
        <v>7845</v>
      </c>
      <c r="F203" s="123">
        <f>VLOOKUP($A203,'Change in Proportion Calc'!$A$5:$P$319,13,FALSE)</f>
        <v>7845</v>
      </c>
      <c r="G203" s="123">
        <f>VLOOKUP($A203,'Change in Proportion Calc'!$A$5:$P$319,16,FALSE)</f>
        <v>6983</v>
      </c>
      <c r="H203" s="167"/>
      <c r="I203" s="123">
        <v>11257</v>
      </c>
      <c r="J203" s="123">
        <v>11257</v>
      </c>
      <c r="K203" s="123">
        <v>11257</v>
      </c>
      <c r="L203" s="123">
        <v>11257</v>
      </c>
      <c r="M203" s="123">
        <v>11034</v>
      </c>
      <c r="N203" s="167"/>
      <c r="O203" s="84">
        <v>6612</v>
      </c>
      <c r="P203" s="84">
        <v>6612</v>
      </c>
      <c r="Q203" s="84">
        <v>6612</v>
      </c>
      <c r="R203" s="85">
        <v>6479</v>
      </c>
      <c r="S203" s="167"/>
      <c r="T203" s="84">
        <v>-10575</v>
      </c>
      <c r="U203" s="84">
        <v>-10575</v>
      </c>
      <c r="V203" s="85">
        <v>-6769</v>
      </c>
      <c r="X203" s="84">
        <v>11768</v>
      </c>
      <c r="Y203" s="84">
        <v>8473</v>
      </c>
      <c r="AA203" s="85">
        <f>VLOOKUP(A203,'Change in Proportion Calc'!$A$5:$H$319,8,FALSE)+I203+O203+T203+X203</f>
        <v>26907</v>
      </c>
      <c r="AC203" s="84">
        <f t="shared" si="9"/>
        <v>111344</v>
      </c>
      <c r="AD203" s="84">
        <f t="shared" si="10"/>
        <v>17344</v>
      </c>
      <c r="AF203" s="84">
        <f>VLOOKUP(A203,'OPEB Amounts_Report'!$A$10:$G$324,6,FALSE)</f>
        <v>191634</v>
      </c>
      <c r="AG203" s="85">
        <f t="shared" si="11"/>
        <v>-80290</v>
      </c>
    </row>
    <row r="204" spans="1:33">
      <c r="A204" s="166">
        <v>20125</v>
      </c>
      <c r="B204" s="167" t="s">
        <v>195</v>
      </c>
      <c r="C204" s="123">
        <f>VLOOKUP($A204,'Change in Proportion Calc'!$A$5:$P$319,12,FALSE)</f>
        <v>31795</v>
      </c>
      <c r="D204" s="123">
        <f>VLOOKUP($A204,'Change in Proportion Calc'!$A$5:$P$319,13,FALSE)</f>
        <v>31795</v>
      </c>
      <c r="E204" s="123">
        <f>VLOOKUP($A204,'Change in Proportion Calc'!$A$5:$P$319,13,FALSE)</f>
        <v>31795</v>
      </c>
      <c r="F204" s="123">
        <f>VLOOKUP($A204,'Change in Proportion Calc'!$A$5:$P$319,13,FALSE)</f>
        <v>31795</v>
      </c>
      <c r="G204" s="123">
        <f>VLOOKUP($A204,'Change in Proportion Calc'!$A$5:$P$319,16,FALSE)</f>
        <v>28298</v>
      </c>
      <c r="H204" s="167"/>
      <c r="I204" s="123">
        <v>-66088</v>
      </c>
      <c r="J204" s="123">
        <v>-66088</v>
      </c>
      <c r="K204" s="123">
        <v>-66088</v>
      </c>
      <c r="L204" s="123">
        <v>-66088</v>
      </c>
      <c r="M204" s="123">
        <v>-64764</v>
      </c>
      <c r="N204" s="167"/>
      <c r="O204" s="84">
        <v>-24730</v>
      </c>
      <c r="P204" s="84">
        <v>-24730</v>
      </c>
      <c r="Q204" s="84">
        <v>-24730</v>
      </c>
      <c r="R204" s="85">
        <v>-24237</v>
      </c>
      <c r="S204" s="167"/>
      <c r="T204" s="84">
        <v>-90616</v>
      </c>
      <c r="U204" s="84">
        <v>-90616</v>
      </c>
      <c r="V204" s="85">
        <v>-57994</v>
      </c>
      <c r="X204" s="84">
        <v>-18284</v>
      </c>
      <c r="Y204" s="84">
        <v>-13166</v>
      </c>
      <c r="AA204" s="85">
        <f>VLOOKUP(A204,'Change in Proportion Calc'!$A$5:$H$319,8,FALSE)+I204+O204+T204+X204</f>
        <v>-167923</v>
      </c>
      <c r="AC204" s="84">
        <f t="shared" si="9"/>
        <v>155478</v>
      </c>
      <c r="AD204" s="84">
        <f t="shared" si="10"/>
        <v>498501</v>
      </c>
      <c r="AF204" s="84">
        <f>VLOOKUP(A204,'OPEB Amounts_Report'!$A$10:$G$324,6,FALSE)</f>
        <v>238994</v>
      </c>
      <c r="AG204" s="85">
        <f t="shared" si="11"/>
        <v>-83516</v>
      </c>
    </row>
    <row r="205" spans="1:33">
      <c r="A205" s="166">
        <v>9029</v>
      </c>
      <c r="B205" s="167" t="s">
        <v>197</v>
      </c>
      <c r="C205" s="123">
        <f>VLOOKUP($A205,'Change in Proportion Calc'!$A$5:$P$319,12,FALSE)</f>
        <v>-5556</v>
      </c>
      <c r="D205" s="123">
        <f>VLOOKUP($A205,'Change in Proportion Calc'!$A$5:$P$319,13,FALSE)</f>
        <v>-5556</v>
      </c>
      <c r="E205" s="123">
        <f>VLOOKUP($A205,'Change in Proportion Calc'!$A$5:$P$319,13,FALSE)</f>
        <v>-5556</v>
      </c>
      <c r="F205" s="123">
        <f>VLOOKUP($A205,'Change in Proportion Calc'!$A$5:$P$319,13,FALSE)</f>
        <v>-5556</v>
      </c>
      <c r="G205" s="123">
        <f>VLOOKUP($A205,'Change in Proportion Calc'!$A$5:$P$319,16,FALSE)</f>
        <v>-4947</v>
      </c>
      <c r="H205" s="167"/>
      <c r="I205" s="123">
        <v>3483</v>
      </c>
      <c r="J205" s="123">
        <v>3483</v>
      </c>
      <c r="K205" s="123">
        <v>3483</v>
      </c>
      <c r="L205" s="123">
        <v>3483</v>
      </c>
      <c r="M205" s="123">
        <v>3411</v>
      </c>
      <c r="N205" s="167"/>
      <c r="O205" s="84">
        <v>187967</v>
      </c>
      <c r="P205" s="84">
        <v>187967</v>
      </c>
      <c r="Q205" s="84">
        <v>187967</v>
      </c>
      <c r="R205" s="85">
        <v>184210</v>
      </c>
      <c r="S205" s="167"/>
      <c r="T205" s="84">
        <v>-182591</v>
      </c>
      <c r="U205" s="84">
        <v>-182591</v>
      </c>
      <c r="V205" s="85">
        <v>-116856</v>
      </c>
      <c r="X205" s="84">
        <v>-161543</v>
      </c>
      <c r="Y205" s="84">
        <v>-116311</v>
      </c>
      <c r="AA205" s="85">
        <f>VLOOKUP(A205,'Change in Proportion Calc'!$A$5:$H$319,8,FALSE)+I205+O205+T205+X205</f>
        <v>-158240</v>
      </c>
      <c r="AC205" s="84">
        <f t="shared" si="9"/>
        <v>574004</v>
      </c>
      <c r="AD205" s="84">
        <f t="shared" si="10"/>
        <v>442929</v>
      </c>
      <c r="AF205" s="84">
        <f>VLOOKUP(A205,'OPEB Amounts_Report'!$A$10:$G$324,6,FALSE)</f>
        <v>574995</v>
      </c>
      <c r="AG205" s="85">
        <f t="shared" si="11"/>
        <v>-991</v>
      </c>
    </row>
    <row r="206" spans="1:33">
      <c r="A206" s="164">
        <v>2580</v>
      </c>
      <c r="B206" s="168" t="s">
        <v>198</v>
      </c>
      <c r="C206" s="123">
        <f>VLOOKUP($A206,'Change in Proportion Calc'!$A$5:$P$319,12,FALSE)</f>
        <v>-12746</v>
      </c>
      <c r="D206" s="123">
        <f>VLOOKUP($A206,'Change in Proportion Calc'!$A$5:$P$319,13,FALSE)</f>
        <v>-12746</v>
      </c>
      <c r="E206" s="123">
        <f>VLOOKUP($A206,'Change in Proportion Calc'!$A$5:$P$319,13,FALSE)</f>
        <v>-12746</v>
      </c>
      <c r="F206" s="123">
        <f>VLOOKUP($A206,'Change in Proportion Calc'!$A$5:$P$319,13,FALSE)</f>
        <v>-12746</v>
      </c>
      <c r="G206" s="123">
        <f>VLOOKUP($A206,'Change in Proportion Calc'!$A$5:$P$319,16,FALSE)</f>
        <v>-11342</v>
      </c>
      <c r="H206" s="167"/>
      <c r="I206" s="123">
        <v>-3483</v>
      </c>
      <c r="J206" s="123">
        <v>-3483</v>
      </c>
      <c r="K206" s="123">
        <v>-3483</v>
      </c>
      <c r="L206" s="123">
        <v>-3483</v>
      </c>
      <c r="M206" s="123">
        <v>-3411</v>
      </c>
      <c r="N206" s="167"/>
      <c r="O206" s="84">
        <v>-19664</v>
      </c>
      <c r="P206" s="84">
        <v>-19664</v>
      </c>
      <c r="Q206" s="84">
        <v>-19664</v>
      </c>
      <c r="R206" s="85">
        <v>-19271</v>
      </c>
      <c r="S206" s="167"/>
      <c r="T206" s="84">
        <v>4075</v>
      </c>
      <c r="U206" s="84">
        <v>4075</v>
      </c>
      <c r="V206" s="85">
        <v>2607</v>
      </c>
      <c r="X206" s="84">
        <v>8656</v>
      </c>
      <c r="Y206" s="84">
        <v>6231</v>
      </c>
      <c r="AA206" s="85">
        <f>VLOOKUP(A206,'Change in Proportion Calc'!$A$5:$H$319,8,FALSE)+I206+O206+T206+X206</f>
        <v>-23162</v>
      </c>
      <c r="AC206" s="84">
        <f t="shared" si="9"/>
        <v>12913</v>
      </c>
      <c r="AD206" s="84">
        <f t="shared" si="10"/>
        <v>134785</v>
      </c>
      <c r="AF206" s="84">
        <f>VLOOKUP(A206,'OPEB Amounts_Report'!$A$10:$G$324,6,FALSE)</f>
        <v>75371</v>
      </c>
      <c r="AG206" s="85">
        <f t="shared" si="11"/>
        <v>-62458</v>
      </c>
    </row>
    <row r="207" spans="1:33">
      <c r="A207" s="166">
        <v>20312</v>
      </c>
      <c r="B207" s="167" t="s">
        <v>199</v>
      </c>
      <c r="C207" s="123">
        <f>VLOOKUP($A207,'Change in Proportion Calc'!$A$5:$P$319,12,FALSE)</f>
        <v>1073</v>
      </c>
      <c r="D207" s="123">
        <f>VLOOKUP($A207,'Change in Proportion Calc'!$A$5:$P$319,13,FALSE)</f>
        <v>1073</v>
      </c>
      <c r="E207" s="123">
        <f>VLOOKUP($A207,'Change in Proportion Calc'!$A$5:$P$319,13,FALSE)</f>
        <v>1073</v>
      </c>
      <c r="F207" s="123">
        <f>VLOOKUP($A207,'Change in Proportion Calc'!$A$5:$P$319,13,FALSE)</f>
        <v>1073</v>
      </c>
      <c r="G207" s="123">
        <f>VLOOKUP($A207,'Change in Proportion Calc'!$A$5:$P$319,16,FALSE)</f>
        <v>953</v>
      </c>
      <c r="H207" s="167"/>
      <c r="I207" s="123">
        <v>9395</v>
      </c>
      <c r="J207" s="123">
        <v>9395</v>
      </c>
      <c r="K207" s="123">
        <v>9395</v>
      </c>
      <c r="L207" s="123">
        <v>9395</v>
      </c>
      <c r="M207" s="123">
        <v>9206</v>
      </c>
      <c r="N207" s="167"/>
      <c r="O207" s="84">
        <v>2576</v>
      </c>
      <c r="P207" s="84">
        <v>2576</v>
      </c>
      <c r="Q207" s="84">
        <v>2576</v>
      </c>
      <c r="R207" s="85">
        <v>2525</v>
      </c>
      <c r="S207" s="167"/>
      <c r="T207" s="84">
        <v>14068</v>
      </c>
      <c r="U207" s="84">
        <v>14068</v>
      </c>
      <c r="V207" s="85">
        <v>9002</v>
      </c>
      <c r="X207" s="84">
        <v>-8364</v>
      </c>
      <c r="Y207" s="84">
        <v>-6022</v>
      </c>
      <c r="AA207" s="85">
        <f>VLOOKUP(A207,'Change in Proportion Calc'!$A$5:$H$319,8,FALSE)+I207+O207+T207+X207</f>
        <v>18748</v>
      </c>
      <c r="AC207" s="84">
        <f t="shared" si="9"/>
        <v>73383</v>
      </c>
      <c r="AD207" s="84">
        <f t="shared" si="10"/>
        <v>6022</v>
      </c>
      <c r="AF207" s="84">
        <f>VLOOKUP(A207,'OPEB Amounts_Report'!$A$10:$G$324,6,FALSE)</f>
        <v>64140</v>
      </c>
      <c r="AG207" s="85">
        <f t="shared" si="11"/>
        <v>9243</v>
      </c>
    </row>
    <row r="208" spans="1:33">
      <c r="A208" s="166">
        <v>7445</v>
      </c>
      <c r="B208" s="167" t="s">
        <v>428</v>
      </c>
      <c r="C208" s="123">
        <f>VLOOKUP($A208,'Change in Proportion Calc'!$A$5:$P$319,12,FALSE)</f>
        <v>21931</v>
      </c>
      <c r="D208" s="123">
        <f>VLOOKUP($A208,'Change in Proportion Calc'!$A$5:$P$319,13,FALSE)</f>
        <v>21931</v>
      </c>
      <c r="E208" s="123">
        <f>VLOOKUP($A208,'Change in Proportion Calc'!$A$5:$P$319,13,FALSE)</f>
        <v>21931</v>
      </c>
      <c r="F208" s="123">
        <f>VLOOKUP($A208,'Change in Proportion Calc'!$A$5:$P$319,13,FALSE)</f>
        <v>21931</v>
      </c>
      <c r="G208" s="123">
        <f>VLOOKUP($A208,'Change in Proportion Calc'!$A$5:$P$319,16,FALSE)</f>
        <v>19521</v>
      </c>
      <c r="H208" s="167"/>
      <c r="I208" s="123">
        <v>39280</v>
      </c>
      <c r="J208" s="123">
        <v>39280</v>
      </c>
      <c r="K208" s="123">
        <v>39280</v>
      </c>
      <c r="L208" s="123">
        <v>39280</v>
      </c>
      <c r="M208" s="123">
        <v>38494</v>
      </c>
      <c r="N208" s="167"/>
      <c r="O208" s="84">
        <v>45167</v>
      </c>
      <c r="P208" s="84">
        <v>45167</v>
      </c>
      <c r="Q208" s="84">
        <v>45167</v>
      </c>
      <c r="R208" s="85">
        <v>44264</v>
      </c>
      <c r="S208" s="167"/>
      <c r="T208" s="84"/>
      <c r="U208" s="84"/>
      <c r="V208" s="85"/>
      <c r="X208" s="84"/>
      <c r="Y208" s="84"/>
      <c r="AA208" s="85">
        <f>VLOOKUP(A208,'Change in Proportion Calc'!$A$5:$H$319,8,FALSE)+I208+O208+T208+X208</f>
        <v>106378</v>
      </c>
      <c r="AC208" s="84">
        <f t="shared" si="9"/>
        <v>398177</v>
      </c>
      <c r="AD208" s="84">
        <f t="shared" si="10"/>
        <v>0</v>
      </c>
      <c r="AF208" s="84">
        <f>VLOOKUP(A208,'OPEB Amounts_Report'!$A$10:$G$324,6,FALSE)</f>
        <v>64373</v>
      </c>
      <c r="AG208" s="85">
        <f t="shared" si="11"/>
        <v>333804</v>
      </c>
    </row>
    <row r="209" spans="1:33">
      <c r="A209" s="164">
        <v>26150</v>
      </c>
      <c r="B209" s="168" t="s">
        <v>200</v>
      </c>
      <c r="C209" s="123">
        <f>VLOOKUP($A209,'Change in Proportion Calc'!$A$5:$P$319,12,FALSE)</f>
        <v>35079</v>
      </c>
      <c r="D209" s="123">
        <f>VLOOKUP($A209,'Change in Proportion Calc'!$A$5:$P$319,13,FALSE)</f>
        <v>35079</v>
      </c>
      <c r="E209" s="123">
        <f>VLOOKUP($A209,'Change in Proportion Calc'!$A$5:$P$319,13,FALSE)</f>
        <v>35079</v>
      </c>
      <c r="F209" s="123">
        <f>VLOOKUP($A209,'Change in Proportion Calc'!$A$5:$P$319,13,FALSE)</f>
        <v>35079</v>
      </c>
      <c r="G209" s="123">
        <f>VLOOKUP($A209,'Change in Proportion Calc'!$A$5:$P$319,16,FALSE)</f>
        <v>31219</v>
      </c>
      <c r="H209" s="167"/>
      <c r="I209" s="123">
        <v>-15388</v>
      </c>
      <c r="J209" s="123">
        <v>-15388</v>
      </c>
      <c r="K209" s="123">
        <v>-15388</v>
      </c>
      <c r="L209" s="123">
        <v>-15388</v>
      </c>
      <c r="M209" s="123">
        <v>-15080</v>
      </c>
      <c r="N209" s="167"/>
      <c r="O209" s="84">
        <v>1116</v>
      </c>
      <c r="P209" s="84">
        <v>1116</v>
      </c>
      <c r="Q209" s="84">
        <v>1116</v>
      </c>
      <c r="R209" s="85">
        <v>1095</v>
      </c>
      <c r="S209" s="167"/>
      <c r="T209" s="84">
        <v>143297</v>
      </c>
      <c r="U209" s="84">
        <v>143297</v>
      </c>
      <c r="V209" s="85">
        <v>91712</v>
      </c>
      <c r="X209" s="84">
        <v>97937</v>
      </c>
      <c r="Y209" s="84">
        <v>70516</v>
      </c>
      <c r="AA209" s="85">
        <f>VLOOKUP(A209,'Change in Proportion Calc'!$A$5:$H$319,8,FALSE)+I209+O209+T209+X209</f>
        <v>262041</v>
      </c>
      <c r="AC209" s="84">
        <f t="shared" si="9"/>
        <v>480387</v>
      </c>
      <c r="AD209" s="84">
        <f t="shared" si="10"/>
        <v>61244</v>
      </c>
      <c r="AF209" s="84">
        <f>VLOOKUP(A209,'OPEB Amounts_Report'!$A$10:$G$324,6,FALSE)</f>
        <v>441422</v>
      </c>
      <c r="AG209" s="85">
        <f t="shared" si="11"/>
        <v>38965</v>
      </c>
    </row>
    <row r="210" spans="1:33">
      <c r="A210" s="166">
        <v>5016</v>
      </c>
      <c r="B210" s="167" t="s">
        <v>201</v>
      </c>
      <c r="C210" s="123">
        <f>VLOOKUP($A210,'Change in Proportion Calc'!$A$5:$P$319,12,FALSE)</f>
        <v>-94</v>
      </c>
      <c r="D210" s="123">
        <f>VLOOKUP($A210,'Change in Proportion Calc'!$A$5:$P$319,13,FALSE)</f>
        <v>-94</v>
      </c>
      <c r="E210" s="123">
        <f>VLOOKUP($A210,'Change in Proportion Calc'!$A$5:$P$319,13,FALSE)</f>
        <v>-94</v>
      </c>
      <c r="F210" s="123">
        <f>VLOOKUP($A210,'Change in Proportion Calc'!$A$5:$P$319,13,FALSE)</f>
        <v>-94</v>
      </c>
      <c r="G210" s="123">
        <f>VLOOKUP($A210,'Change in Proportion Calc'!$A$5:$P$319,16,FALSE)</f>
        <v>-85</v>
      </c>
      <c r="H210" s="167"/>
      <c r="I210" s="123">
        <v>162</v>
      </c>
      <c r="J210" s="123">
        <v>162</v>
      </c>
      <c r="K210" s="123">
        <v>162</v>
      </c>
      <c r="L210" s="123">
        <v>162</v>
      </c>
      <c r="M210" s="123">
        <v>159</v>
      </c>
      <c r="N210" s="167"/>
      <c r="O210" s="84">
        <v>-13310</v>
      </c>
      <c r="P210" s="84">
        <v>-13310</v>
      </c>
      <c r="Q210" s="84">
        <v>-13310</v>
      </c>
      <c r="R210" s="85">
        <v>-13042</v>
      </c>
      <c r="S210" s="167"/>
      <c r="T210" s="84">
        <v>-13098</v>
      </c>
      <c r="U210" s="84">
        <v>-13098</v>
      </c>
      <c r="V210" s="85">
        <v>-8381</v>
      </c>
      <c r="X210" s="84">
        <v>21786</v>
      </c>
      <c r="Y210" s="84">
        <v>15684</v>
      </c>
      <c r="AA210" s="85">
        <f>VLOOKUP(A210,'Change in Proportion Calc'!$A$5:$H$319,8,FALSE)+I210+O210+T210+X210</f>
        <v>-4554</v>
      </c>
      <c r="AC210" s="84">
        <f t="shared" si="9"/>
        <v>16329</v>
      </c>
      <c r="AD210" s="84">
        <f t="shared" si="10"/>
        <v>61602</v>
      </c>
      <c r="AF210" s="84">
        <f>VLOOKUP(A210,'OPEB Amounts_Report'!$A$10:$G$324,6,FALSE)</f>
        <v>48423</v>
      </c>
      <c r="AG210" s="85">
        <f t="shared" si="11"/>
        <v>-32094</v>
      </c>
    </row>
    <row r="211" spans="1:33">
      <c r="A211" s="164">
        <v>6150</v>
      </c>
      <c r="B211" s="168" t="s">
        <v>202</v>
      </c>
      <c r="C211" s="123">
        <f>VLOOKUP($A211,'Change in Proportion Calc'!$A$5:$P$319,12,FALSE)</f>
        <v>7749</v>
      </c>
      <c r="D211" s="123">
        <f>VLOOKUP($A211,'Change in Proportion Calc'!$A$5:$P$319,13,FALSE)</f>
        <v>7749</v>
      </c>
      <c r="E211" s="123">
        <f>VLOOKUP($A211,'Change in Proportion Calc'!$A$5:$P$319,13,FALSE)</f>
        <v>7749</v>
      </c>
      <c r="F211" s="123">
        <f>VLOOKUP($A211,'Change in Proportion Calc'!$A$5:$P$319,13,FALSE)</f>
        <v>7749</v>
      </c>
      <c r="G211" s="123">
        <f>VLOOKUP($A211,'Change in Proportion Calc'!$A$5:$P$319,16,FALSE)</f>
        <v>6896</v>
      </c>
      <c r="H211" s="167"/>
      <c r="I211" s="123">
        <v>-8099</v>
      </c>
      <c r="J211" s="123">
        <v>-8099</v>
      </c>
      <c r="K211" s="123">
        <v>-8099</v>
      </c>
      <c r="L211" s="123">
        <v>-8099</v>
      </c>
      <c r="M211" s="123">
        <v>-7937</v>
      </c>
      <c r="N211" s="167"/>
      <c r="O211" s="84">
        <v>15800</v>
      </c>
      <c r="P211" s="84">
        <v>15800</v>
      </c>
      <c r="Q211" s="84">
        <v>15800</v>
      </c>
      <c r="R211" s="85">
        <v>15483</v>
      </c>
      <c r="S211" s="167"/>
      <c r="T211" s="84">
        <v>16105</v>
      </c>
      <c r="U211" s="84">
        <v>16105</v>
      </c>
      <c r="V211" s="85">
        <v>10308</v>
      </c>
      <c r="X211" s="84">
        <v>38611</v>
      </c>
      <c r="Y211" s="84">
        <v>27799</v>
      </c>
      <c r="AA211" s="85">
        <f>VLOOKUP(A211,'Change in Proportion Calc'!$A$5:$H$319,8,FALSE)+I211+O211+T211+X211</f>
        <v>70166</v>
      </c>
      <c r="AC211" s="84">
        <f t="shared" si="9"/>
        <v>139187</v>
      </c>
      <c r="AD211" s="84">
        <f t="shared" si="10"/>
        <v>32234</v>
      </c>
      <c r="AF211" s="84">
        <f>VLOOKUP(A211,'OPEB Amounts_Report'!$A$10:$G$324,6,FALSE)</f>
        <v>45374</v>
      </c>
      <c r="AG211" s="85">
        <f t="shared" si="11"/>
        <v>93813</v>
      </c>
    </row>
    <row r="212" spans="1:33">
      <c r="A212" s="166">
        <v>4480</v>
      </c>
      <c r="B212" s="167" t="s">
        <v>203</v>
      </c>
      <c r="C212" s="123">
        <f>VLOOKUP($A212,'Change in Proportion Calc'!$A$5:$P$319,12,FALSE)</f>
        <v>-14032</v>
      </c>
      <c r="D212" s="123">
        <f>VLOOKUP($A212,'Change in Proportion Calc'!$A$5:$P$319,13,FALSE)</f>
        <v>-14032</v>
      </c>
      <c r="E212" s="123">
        <f>VLOOKUP($A212,'Change in Proportion Calc'!$A$5:$P$319,13,FALSE)</f>
        <v>-14032</v>
      </c>
      <c r="F212" s="123">
        <f>VLOOKUP($A212,'Change in Proportion Calc'!$A$5:$P$319,13,FALSE)</f>
        <v>-14032</v>
      </c>
      <c r="G212" s="123">
        <f>VLOOKUP($A212,'Change in Proportion Calc'!$A$5:$P$319,16,FALSE)</f>
        <v>-12487</v>
      </c>
      <c r="H212" s="167"/>
      <c r="I212" s="123">
        <v>-16360</v>
      </c>
      <c r="J212" s="123">
        <v>-16360</v>
      </c>
      <c r="K212" s="123">
        <v>-16360</v>
      </c>
      <c r="L212" s="123">
        <v>-16360</v>
      </c>
      <c r="M212" s="123">
        <v>-16032</v>
      </c>
      <c r="N212" s="167"/>
      <c r="O212" s="84">
        <v>-9789</v>
      </c>
      <c r="P212" s="84">
        <v>-9789</v>
      </c>
      <c r="Q212" s="84">
        <v>-9789</v>
      </c>
      <c r="R212" s="85">
        <v>-9594</v>
      </c>
      <c r="S212" s="167"/>
      <c r="T212" s="84">
        <v>7373</v>
      </c>
      <c r="U212" s="84">
        <v>7373</v>
      </c>
      <c r="V212" s="85">
        <v>4721</v>
      </c>
      <c r="X212" s="84">
        <v>-2918</v>
      </c>
      <c r="Y212" s="84">
        <v>-2099</v>
      </c>
      <c r="AA212" s="85">
        <f>VLOOKUP(A212,'Change in Proportion Calc'!$A$5:$H$319,8,FALSE)+I212+O212+T212+X212</f>
        <v>-35726</v>
      </c>
      <c r="AC212" s="84">
        <f t="shared" si="9"/>
        <v>12094</v>
      </c>
      <c r="AD212" s="84">
        <f t="shared" si="10"/>
        <v>164998</v>
      </c>
      <c r="AF212" s="84">
        <f>VLOOKUP(A212,'OPEB Amounts_Report'!$A$10:$G$324,6,FALSE)</f>
        <v>73337</v>
      </c>
      <c r="AG212" s="85">
        <f t="shared" si="11"/>
        <v>-61243</v>
      </c>
    </row>
    <row r="213" spans="1:33">
      <c r="A213" s="164">
        <v>28085</v>
      </c>
      <c r="B213" s="168" t="s">
        <v>204</v>
      </c>
      <c r="C213" s="123">
        <f>VLOOKUP($A213,'Change in Proportion Calc'!$A$5:$P$319,12,FALSE)</f>
        <v>1167</v>
      </c>
      <c r="D213" s="123">
        <f>VLOOKUP($A213,'Change in Proportion Calc'!$A$5:$P$319,13,FALSE)</f>
        <v>1167</v>
      </c>
      <c r="E213" s="123">
        <f>VLOOKUP($A213,'Change in Proportion Calc'!$A$5:$P$319,13,FALSE)</f>
        <v>1167</v>
      </c>
      <c r="F213" s="123">
        <f>VLOOKUP($A213,'Change in Proportion Calc'!$A$5:$P$319,13,FALSE)</f>
        <v>1167</v>
      </c>
      <c r="G213" s="123">
        <f>VLOOKUP($A213,'Change in Proportion Calc'!$A$5:$P$319,16,FALSE)</f>
        <v>1040</v>
      </c>
      <c r="H213" s="167"/>
      <c r="I213" s="123">
        <v>-16846</v>
      </c>
      <c r="J213" s="123">
        <v>-16846</v>
      </c>
      <c r="K213" s="123">
        <v>-16846</v>
      </c>
      <c r="L213" s="123">
        <v>-16846</v>
      </c>
      <c r="M213" s="123">
        <v>-16508</v>
      </c>
      <c r="N213" s="167"/>
      <c r="O213" s="84">
        <v>-1116</v>
      </c>
      <c r="P213" s="84">
        <v>-1116</v>
      </c>
      <c r="Q213" s="84">
        <v>-1116</v>
      </c>
      <c r="R213" s="85">
        <v>-1095</v>
      </c>
      <c r="S213" s="167"/>
      <c r="T213" s="84">
        <v>-9023</v>
      </c>
      <c r="U213" s="84">
        <v>-9023</v>
      </c>
      <c r="V213" s="85">
        <v>-5774</v>
      </c>
      <c r="X213" s="84">
        <v>7975</v>
      </c>
      <c r="Y213" s="84">
        <v>5742</v>
      </c>
      <c r="AA213" s="85">
        <f>VLOOKUP(A213,'Change in Proportion Calc'!$A$5:$H$319,8,FALSE)+I213+O213+T213+X213</f>
        <v>-17843</v>
      </c>
      <c r="AC213" s="84">
        <f t="shared" si="9"/>
        <v>11450</v>
      </c>
      <c r="AD213" s="84">
        <f t="shared" si="10"/>
        <v>85170</v>
      </c>
      <c r="AF213" s="84">
        <f>VLOOKUP(A213,'OPEB Amounts_Report'!$A$10:$G$324,6,FALSE)</f>
        <v>153529</v>
      </c>
      <c r="AG213" s="85">
        <f t="shared" si="11"/>
        <v>-142079</v>
      </c>
    </row>
    <row r="214" spans="1:33">
      <c r="A214" s="166">
        <v>3240</v>
      </c>
      <c r="B214" s="167" t="s">
        <v>205</v>
      </c>
      <c r="C214" s="123">
        <f>VLOOKUP($A214,'Change in Proportion Calc'!$A$5:$P$319,12,FALSE)</f>
        <v>-123642</v>
      </c>
      <c r="D214" s="123">
        <f>VLOOKUP($A214,'Change in Proportion Calc'!$A$5:$P$319,13,FALSE)</f>
        <v>-123642</v>
      </c>
      <c r="E214" s="123">
        <f>VLOOKUP($A214,'Change in Proportion Calc'!$A$5:$P$319,13,FALSE)</f>
        <v>-123642</v>
      </c>
      <c r="F214" s="123">
        <f>VLOOKUP($A214,'Change in Proportion Calc'!$A$5:$P$319,13,FALSE)</f>
        <v>-123642</v>
      </c>
      <c r="G214" s="123">
        <f>VLOOKUP($A214,'Change in Proportion Calc'!$A$5:$P$319,16,FALSE)</f>
        <v>-110043</v>
      </c>
      <c r="H214" s="167"/>
      <c r="I214" s="123">
        <v>56936</v>
      </c>
      <c r="J214" s="123">
        <v>56936</v>
      </c>
      <c r="K214" s="123">
        <v>56936</v>
      </c>
      <c r="L214" s="123">
        <v>56936</v>
      </c>
      <c r="M214" s="123">
        <v>55795</v>
      </c>
      <c r="N214" s="167"/>
      <c r="O214" s="84">
        <v>-44137</v>
      </c>
      <c r="P214" s="84">
        <v>-44137</v>
      </c>
      <c r="Q214" s="84">
        <v>-44137</v>
      </c>
      <c r="R214" s="85">
        <v>-43253</v>
      </c>
      <c r="S214" s="167"/>
      <c r="T214" s="84">
        <v>-118752</v>
      </c>
      <c r="U214" s="84">
        <v>-118752</v>
      </c>
      <c r="V214" s="85">
        <v>-75999</v>
      </c>
      <c r="X214" s="84">
        <v>-123905</v>
      </c>
      <c r="Y214" s="84">
        <v>-89210</v>
      </c>
      <c r="AA214" s="85">
        <f>VLOOKUP(A214,'Change in Proportion Calc'!$A$5:$H$319,8,FALSE)+I214+O214+T214+X214</f>
        <v>-353500</v>
      </c>
      <c r="AC214" s="84">
        <f t="shared" si="9"/>
        <v>226603</v>
      </c>
      <c r="AD214" s="84">
        <f t="shared" si="10"/>
        <v>1020099</v>
      </c>
      <c r="AF214" s="84">
        <f>VLOOKUP(A214,'OPEB Amounts_Report'!$A$10:$G$324,6,FALSE)</f>
        <v>928670</v>
      </c>
      <c r="AG214" s="85">
        <f t="shared" si="11"/>
        <v>-702067</v>
      </c>
    </row>
    <row r="215" spans="1:33">
      <c r="A215" s="164">
        <v>12326</v>
      </c>
      <c r="B215" s="168" t="s">
        <v>206</v>
      </c>
      <c r="C215" s="123">
        <f>VLOOKUP($A215,'Change in Proportion Calc'!$A$5:$P$319,12,FALSE)</f>
        <v>5085</v>
      </c>
      <c r="D215" s="123">
        <f>VLOOKUP($A215,'Change in Proportion Calc'!$A$5:$P$319,13,FALSE)</f>
        <v>5085</v>
      </c>
      <c r="E215" s="123">
        <f>VLOOKUP($A215,'Change in Proportion Calc'!$A$5:$P$319,13,FALSE)</f>
        <v>5085</v>
      </c>
      <c r="F215" s="123">
        <f>VLOOKUP($A215,'Change in Proportion Calc'!$A$5:$P$319,13,FALSE)</f>
        <v>5085</v>
      </c>
      <c r="G215" s="123">
        <f>VLOOKUP($A215,'Change in Proportion Calc'!$A$5:$P$319,16,FALSE)</f>
        <v>4525</v>
      </c>
      <c r="H215" s="167"/>
      <c r="I215" s="123">
        <v>-6074</v>
      </c>
      <c r="J215" s="123">
        <v>-6074</v>
      </c>
      <c r="K215" s="123">
        <v>-6074</v>
      </c>
      <c r="L215" s="123">
        <v>-6074</v>
      </c>
      <c r="M215" s="123">
        <v>-5954</v>
      </c>
      <c r="N215" s="167"/>
      <c r="O215" s="84">
        <v>16229</v>
      </c>
      <c r="P215" s="84">
        <v>16229</v>
      </c>
      <c r="Q215" s="84">
        <v>16229</v>
      </c>
      <c r="R215" s="85">
        <v>15906</v>
      </c>
      <c r="S215" s="167"/>
      <c r="T215" s="84">
        <v>-3978</v>
      </c>
      <c r="U215" s="84">
        <v>-3978</v>
      </c>
      <c r="V215" s="85">
        <v>-2545</v>
      </c>
      <c r="X215" s="84">
        <v>-972</v>
      </c>
      <c r="Y215" s="84">
        <v>-702</v>
      </c>
      <c r="AA215" s="85">
        <f>VLOOKUP(A215,'Change in Proportion Calc'!$A$5:$H$319,8,FALSE)+I215+O215+T215+X215</f>
        <v>10290</v>
      </c>
      <c r="AC215" s="84">
        <f t="shared" si="9"/>
        <v>73229</v>
      </c>
      <c r="AD215" s="84">
        <f t="shared" si="10"/>
        <v>31401</v>
      </c>
      <c r="AF215" s="84">
        <f>VLOOKUP(A215,'OPEB Amounts_Report'!$A$10:$G$324,6,FALSE)</f>
        <v>57275</v>
      </c>
      <c r="AG215" s="85">
        <f t="shared" si="11"/>
        <v>15954</v>
      </c>
    </row>
    <row r="216" spans="1:33">
      <c r="A216" s="164">
        <v>2445</v>
      </c>
      <c r="B216" s="168" t="s">
        <v>533</v>
      </c>
      <c r="C216" s="123">
        <f>VLOOKUP($A216,'Change in Proportion Calc'!$A$5:$P$319,12,FALSE)</f>
        <v>24664</v>
      </c>
      <c r="D216" s="123">
        <f>VLOOKUP($A216,'Change in Proportion Calc'!$A$5:$P$319,13,FALSE)</f>
        <v>24664</v>
      </c>
      <c r="E216" s="123">
        <f>VLOOKUP($A216,'Change in Proportion Calc'!$A$5:$P$319,13,FALSE)</f>
        <v>24664</v>
      </c>
      <c r="F216" s="123">
        <f>VLOOKUP($A216,'Change in Proportion Calc'!$A$5:$P$319,13,FALSE)</f>
        <v>24664</v>
      </c>
      <c r="G216" s="123">
        <f>VLOOKUP($A216,'Change in Proportion Calc'!$A$5:$P$319,16,FALSE)</f>
        <v>21952</v>
      </c>
      <c r="H216" s="167"/>
      <c r="I216" s="123">
        <v>0</v>
      </c>
      <c r="J216" s="123">
        <v>0</v>
      </c>
      <c r="K216" s="123">
        <v>0</v>
      </c>
      <c r="L216" s="123">
        <v>0</v>
      </c>
      <c r="M216" s="123">
        <v>0</v>
      </c>
      <c r="N216" s="167"/>
      <c r="O216" s="84">
        <v>0</v>
      </c>
      <c r="P216" s="84">
        <v>0</v>
      </c>
      <c r="Q216" s="84">
        <v>0</v>
      </c>
      <c r="R216" s="85">
        <v>0</v>
      </c>
      <c r="S216" s="167"/>
      <c r="T216" s="84">
        <v>0</v>
      </c>
      <c r="U216" s="84">
        <v>0</v>
      </c>
      <c r="V216" s="84">
        <v>0</v>
      </c>
      <c r="W216" s="85"/>
      <c r="X216" s="84">
        <v>0</v>
      </c>
      <c r="Y216" s="84">
        <v>0</v>
      </c>
      <c r="AA216" s="85">
        <f>VLOOKUP(A216,'Change in Proportion Calc'!$A$5:$H$319,8,FALSE)+I216+O216+T216+X216</f>
        <v>24664</v>
      </c>
      <c r="AC216" s="84">
        <f t="shared" si="9"/>
        <v>120608</v>
      </c>
      <c r="AD216" s="84">
        <f t="shared" si="10"/>
        <v>0</v>
      </c>
      <c r="AF216" s="84">
        <f>VLOOKUP(A216,'OPEB Amounts_Report'!$A$10:$G$324,6,FALSE)</f>
        <v>16314</v>
      </c>
      <c r="AG216" s="85">
        <f t="shared" si="11"/>
        <v>104294</v>
      </c>
    </row>
    <row r="217" spans="1:33">
      <c r="A217" s="166">
        <v>29123</v>
      </c>
      <c r="B217" s="167" t="s">
        <v>207</v>
      </c>
      <c r="C217" s="123">
        <f>VLOOKUP($A217,'Change in Proportion Calc'!$A$5:$P$319,12,FALSE)</f>
        <v>-156019</v>
      </c>
      <c r="D217" s="123">
        <f>VLOOKUP($A217,'Change in Proportion Calc'!$A$5:$P$319,13,FALSE)</f>
        <v>-156019</v>
      </c>
      <c r="E217" s="123">
        <f>VLOOKUP($A217,'Change in Proportion Calc'!$A$5:$P$319,13,FALSE)</f>
        <v>-156019</v>
      </c>
      <c r="F217" s="123">
        <f>VLOOKUP($A217,'Change in Proportion Calc'!$A$5:$P$319,13,FALSE)</f>
        <v>-156019</v>
      </c>
      <c r="G217" s="123">
        <f>VLOOKUP($A217,'Change in Proportion Calc'!$A$5:$P$319,16,FALSE)</f>
        <v>-138856</v>
      </c>
      <c r="H217" s="167"/>
      <c r="I217" s="123">
        <v>-451759</v>
      </c>
      <c r="J217" s="123">
        <v>-451759</v>
      </c>
      <c r="K217" s="123">
        <v>-451759</v>
      </c>
      <c r="L217" s="123">
        <v>-451759</v>
      </c>
      <c r="M217" s="123">
        <v>-442725</v>
      </c>
      <c r="N217" s="167"/>
      <c r="O217" s="84">
        <v>3437597</v>
      </c>
      <c r="P217" s="84">
        <v>3437597</v>
      </c>
      <c r="Q217" s="84">
        <v>3437597</v>
      </c>
      <c r="R217" s="85">
        <v>3368844</v>
      </c>
      <c r="S217" s="167"/>
      <c r="T217" s="84">
        <v>-2324389</v>
      </c>
      <c r="U217" s="84">
        <v>-2324389</v>
      </c>
      <c r="V217" s="85">
        <v>-1487608</v>
      </c>
      <c r="X217" s="84">
        <v>1161340</v>
      </c>
      <c r="Y217" s="84">
        <v>836163</v>
      </c>
      <c r="AA217" s="85">
        <f>VLOOKUP(A217,'Change in Proportion Calc'!$A$5:$H$319,8,FALSE)+I217+O217+T217+X217</f>
        <v>1666770</v>
      </c>
      <c r="AC217" s="84">
        <f t="shared" si="9"/>
        <v>11080201</v>
      </c>
      <c r="AD217" s="84">
        <f t="shared" si="10"/>
        <v>6372931</v>
      </c>
      <c r="AF217" s="84">
        <f>VLOOKUP(A217,'OPEB Amounts_Report'!$A$10:$G$324,6,FALSE)</f>
        <v>10935886</v>
      </c>
      <c r="AG217" s="85">
        <f t="shared" si="11"/>
        <v>144315</v>
      </c>
    </row>
    <row r="218" spans="1:33">
      <c r="A218" s="164">
        <v>2318</v>
      </c>
      <c r="B218" s="168" t="s">
        <v>208</v>
      </c>
      <c r="C218" s="123">
        <f>VLOOKUP($A218,'Change in Proportion Calc'!$A$5:$P$319,12,FALSE)</f>
        <v>8386</v>
      </c>
      <c r="D218" s="123">
        <f>VLOOKUP($A218,'Change in Proportion Calc'!$A$5:$P$319,13,FALSE)</f>
        <v>8386</v>
      </c>
      <c r="E218" s="123">
        <f>VLOOKUP($A218,'Change in Proportion Calc'!$A$5:$P$319,13,FALSE)</f>
        <v>8386</v>
      </c>
      <c r="F218" s="123">
        <f>VLOOKUP($A218,'Change in Proportion Calc'!$A$5:$P$319,13,FALSE)</f>
        <v>8386</v>
      </c>
      <c r="G218" s="123">
        <f>VLOOKUP($A218,'Change in Proportion Calc'!$A$5:$P$319,16,FALSE)</f>
        <v>7463</v>
      </c>
      <c r="H218" s="167"/>
      <c r="I218" s="123">
        <v>10610</v>
      </c>
      <c r="J218" s="123">
        <v>10610</v>
      </c>
      <c r="K218" s="123">
        <v>10610</v>
      </c>
      <c r="L218" s="123">
        <v>10610</v>
      </c>
      <c r="M218" s="123">
        <v>10396</v>
      </c>
      <c r="N218" s="167"/>
      <c r="O218" s="84">
        <v>20351</v>
      </c>
      <c r="P218" s="84">
        <v>20351</v>
      </c>
      <c r="Q218" s="84">
        <v>20351</v>
      </c>
      <c r="R218" s="85">
        <v>19944</v>
      </c>
      <c r="S218" s="167"/>
      <c r="T218" s="84">
        <v>-7664</v>
      </c>
      <c r="U218" s="84">
        <v>-7664</v>
      </c>
      <c r="V218" s="85">
        <v>-4907</v>
      </c>
      <c r="X218" s="84">
        <v>13811</v>
      </c>
      <c r="Y218" s="84">
        <v>9942</v>
      </c>
      <c r="AA218" s="85">
        <f>VLOOKUP(A218,'Change in Proportion Calc'!$A$5:$H$319,8,FALSE)+I218+O218+T218+X218</f>
        <v>45494</v>
      </c>
      <c r="AC218" s="84">
        <f t="shared" si="9"/>
        <v>153821</v>
      </c>
      <c r="AD218" s="84">
        <f t="shared" si="10"/>
        <v>12571</v>
      </c>
      <c r="AF218" s="84">
        <f>VLOOKUP(A218,'OPEB Amounts_Report'!$A$10:$G$324,6,FALSE)</f>
        <v>256804</v>
      </c>
      <c r="AG218" s="85">
        <f t="shared" si="11"/>
        <v>-102983</v>
      </c>
    </row>
    <row r="219" spans="1:33">
      <c r="A219" s="166">
        <v>3250</v>
      </c>
      <c r="B219" s="167" t="s">
        <v>209</v>
      </c>
      <c r="C219" s="123">
        <f>VLOOKUP($A219,'Change in Proportion Calc'!$A$5:$P$319,12,FALSE)</f>
        <v>15678</v>
      </c>
      <c r="D219" s="123">
        <f>VLOOKUP($A219,'Change in Proportion Calc'!$A$5:$P$319,13,FALSE)</f>
        <v>15678</v>
      </c>
      <c r="E219" s="123">
        <f>VLOOKUP($A219,'Change in Proportion Calc'!$A$5:$P$319,13,FALSE)</f>
        <v>15678</v>
      </c>
      <c r="F219" s="123">
        <f>VLOOKUP($A219,'Change in Proportion Calc'!$A$5:$P$319,13,FALSE)</f>
        <v>15678</v>
      </c>
      <c r="G219" s="123">
        <f>VLOOKUP($A219,'Change in Proportion Calc'!$A$5:$P$319,16,FALSE)</f>
        <v>13951</v>
      </c>
      <c r="H219" s="167"/>
      <c r="I219" s="123">
        <v>-18061</v>
      </c>
      <c r="J219" s="123">
        <v>-18061</v>
      </c>
      <c r="K219" s="123">
        <v>-18061</v>
      </c>
      <c r="L219" s="123">
        <v>-18061</v>
      </c>
      <c r="M219" s="123">
        <v>-17698</v>
      </c>
      <c r="N219" s="167"/>
      <c r="O219" s="84">
        <v>-28595</v>
      </c>
      <c r="P219" s="84">
        <v>-28595</v>
      </c>
      <c r="Q219" s="84">
        <v>-28595</v>
      </c>
      <c r="R219" s="85">
        <v>-28021</v>
      </c>
      <c r="S219" s="167"/>
      <c r="T219" s="84">
        <v>-28330</v>
      </c>
      <c r="U219" s="84">
        <v>-28330</v>
      </c>
      <c r="V219" s="85">
        <v>-18129</v>
      </c>
      <c r="X219" s="84">
        <v>60493</v>
      </c>
      <c r="Y219" s="84">
        <v>43557</v>
      </c>
      <c r="AA219" s="85">
        <f>VLOOKUP(A219,'Change in Proportion Calc'!$A$5:$H$319,8,FALSE)+I219+O219+T219+X219</f>
        <v>1185</v>
      </c>
      <c r="AC219" s="84">
        <f t="shared" si="9"/>
        <v>120220</v>
      </c>
      <c r="AD219" s="84">
        <f t="shared" si="10"/>
        <v>203551</v>
      </c>
      <c r="AF219" s="84">
        <f>VLOOKUP(A219,'OPEB Amounts_Report'!$A$10:$G$324,6,FALSE)</f>
        <v>348635</v>
      </c>
      <c r="AG219" s="85">
        <f t="shared" si="11"/>
        <v>-228415</v>
      </c>
    </row>
    <row r="220" spans="1:33">
      <c r="A220" s="164">
        <v>2313</v>
      </c>
      <c r="B220" s="168" t="s">
        <v>210</v>
      </c>
      <c r="C220" s="123">
        <f>VLOOKUP($A220,'Change in Proportion Calc'!$A$5:$P$319,12,FALSE)</f>
        <v>12416</v>
      </c>
      <c r="D220" s="123">
        <f>VLOOKUP($A220,'Change in Proportion Calc'!$A$5:$P$319,13,FALSE)</f>
        <v>12416</v>
      </c>
      <c r="E220" s="123">
        <f>VLOOKUP($A220,'Change in Proportion Calc'!$A$5:$P$319,13,FALSE)</f>
        <v>12416</v>
      </c>
      <c r="F220" s="123">
        <f>VLOOKUP($A220,'Change in Proportion Calc'!$A$5:$P$319,13,FALSE)</f>
        <v>12416</v>
      </c>
      <c r="G220" s="123">
        <f>VLOOKUP($A220,'Change in Proportion Calc'!$A$5:$P$319,16,FALSE)</f>
        <v>11049</v>
      </c>
      <c r="H220" s="167"/>
      <c r="I220" s="123">
        <v>4131</v>
      </c>
      <c r="J220" s="123">
        <v>4131</v>
      </c>
      <c r="K220" s="123">
        <v>4131</v>
      </c>
      <c r="L220" s="123">
        <v>4131</v>
      </c>
      <c r="M220" s="123">
        <v>4046</v>
      </c>
      <c r="N220" s="167"/>
      <c r="O220" s="84">
        <v>-1116</v>
      </c>
      <c r="P220" s="84">
        <v>-1116</v>
      </c>
      <c r="Q220" s="84">
        <v>-1116</v>
      </c>
      <c r="R220" s="85">
        <v>-1095</v>
      </c>
      <c r="S220" s="167"/>
      <c r="T220" s="84">
        <v>-4948</v>
      </c>
      <c r="U220" s="84">
        <v>-4948</v>
      </c>
      <c r="V220" s="85">
        <v>-3167</v>
      </c>
      <c r="X220" s="84">
        <v>-7003</v>
      </c>
      <c r="Y220" s="84">
        <v>-5040</v>
      </c>
      <c r="AA220" s="85">
        <f>VLOOKUP(A220,'Change in Proportion Calc'!$A$5:$H$319,8,FALSE)+I220+O220+T220+X220</f>
        <v>3480</v>
      </c>
      <c r="AC220" s="84">
        <f t="shared" si="9"/>
        <v>77152</v>
      </c>
      <c r="AD220" s="84">
        <f t="shared" si="10"/>
        <v>16482</v>
      </c>
      <c r="AF220" s="84">
        <f>VLOOKUP(A220,'OPEB Amounts_Report'!$A$10:$G$324,6,FALSE)</f>
        <v>42937</v>
      </c>
      <c r="AG220" s="85">
        <f t="shared" si="11"/>
        <v>34215</v>
      </c>
    </row>
    <row r="221" spans="1:33">
      <c r="A221" s="166">
        <v>4011</v>
      </c>
      <c r="B221" s="167" t="s">
        <v>211</v>
      </c>
      <c r="C221" s="123">
        <f>VLOOKUP($A221,'Change in Proportion Calc'!$A$5:$P$319,12,FALSE)</f>
        <v>275584</v>
      </c>
      <c r="D221" s="123">
        <f>VLOOKUP($A221,'Change in Proportion Calc'!$A$5:$P$319,13,FALSE)</f>
        <v>275584</v>
      </c>
      <c r="E221" s="123">
        <f>VLOOKUP($A221,'Change in Proportion Calc'!$A$5:$P$319,13,FALSE)</f>
        <v>275584</v>
      </c>
      <c r="F221" s="123">
        <f>VLOOKUP($A221,'Change in Proportion Calc'!$A$5:$P$319,13,FALSE)</f>
        <v>275584</v>
      </c>
      <c r="G221" s="123">
        <f>VLOOKUP($A221,'Change in Proportion Calc'!$A$5:$P$319,16,FALSE)</f>
        <v>245272</v>
      </c>
      <c r="H221" s="167"/>
      <c r="I221" s="123">
        <v>237623</v>
      </c>
      <c r="J221" s="123">
        <v>237623</v>
      </c>
      <c r="K221" s="123">
        <v>237623</v>
      </c>
      <c r="L221" s="123">
        <v>237623</v>
      </c>
      <c r="M221" s="123">
        <v>232871</v>
      </c>
      <c r="N221" s="167"/>
      <c r="O221" s="84">
        <v>216562</v>
      </c>
      <c r="P221" s="84">
        <v>216562</v>
      </c>
      <c r="Q221" s="84">
        <v>216562</v>
      </c>
      <c r="R221" s="85">
        <v>212230</v>
      </c>
      <c r="S221" s="167"/>
      <c r="T221" s="84">
        <v>827090</v>
      </c>
      <c r="U221" s="84">
        <v>827090</v>
      </c>
      <c r="V221" s="85">
        <v>529336</v>
      </c>
      <c r="X221" s="84">
        <v>-298383</v>
      </c>
      <c r="Y221" s="84">
        <v>-214835</v>
      </c>
      <c r="AA221" s="85">
        <f>VLOOKUP(A221,'Change in Proportion Calc'!$A$5:$H$319,8,FALSE)+I221+O221+T221+X221</f>
        <v>1258477</v>
      </c>
      <c r="AC221" s="84">
        <f t="shared" si="9"/>
        <v>4295128</v>
      </c>
      <c r="AD221" s="84">
        <f t="shared" si="10"/>
        <v>214835</v>
      </c>
      <c r="AF221" s="84">
        <f>VLOOKUP(A221,'OPEB Amounts_Report'!$A$10:$G$324,6,FALSE)</f>
        <v>6437770</v>
      </c>
      <c r="AG221" s="85">
        <f t="shared" si="11"/>
        <v>-2142642</v>
      </c>
    </row>
    <row r="222" spans="1:33">
      <c r="A222" s="164">
        <v>31092</v>
      </c>
      <c r="B222" s="168" t="s">
        <v>212</v>
      </c>
      <c r="C222" s="123">
        <f>VLOOKUP($A222,'Change in Proportion Calc'!$A$5:$P$319,12,FALSE)</f>
        <v>15035</v>
      </c>
      <c r="D222" s="123">
        <f>VLOOKUP($A222,'Change in Proportion Calc'!$A$5:$P$319,13,FALSE)</f>
        <v>15035</v>
      </c>
      <c r="E222" s="123">
        <f>VLOOKUP($A222,'Change in Proportion Calc'!$A$5:$P$319,13,FALSE)</f>
        <v>15035</v>
      </c>
      <c r="F222" s="123">
        <f>VLOOKUP($A222,'Change in Proportion Calc'!$A$5:$P$319,13,FALSE)</f>
        <v>15035</v>
      </c>
      <c r="G222" s="123">
        <f>VLOOKUP($A222,'Change in Proportion Calc'!$A$5:$P$319,16,FALSE)</f>
        <v>13383</v>
      </c>
      <c r="H222" s="167"/>
      <c r="I222" s="123">
        <v>7046</v>
      </c>
      <c r="J222" s="123">
        <v>7046</v>
      </c>
      <c r="K222" s="123">
        <v>7046</v>
      </c>
      <c r="L222" s="123">
        <v>7046</v>
      </c>
      <c r="M222" s="123">
        <v>6906</v>
      </c>
      <c r="N222" s="167"/>
      <c r="O222" s="84">
        <v>4294</v>
      </c>
      <c r="P222" s="84">
        <v>4294</v>
      </c>
      <c r="Q222" s="84">
        <v>4294</v>
      </c>
      <c r="R222" s="85">
        <v>4206</v>
      </c>
      <c r="S222" s="167"/>
      <c r="T222" s="84">
        <v>-5724</v>
      </c>
      <c r="U222" s="84">
        <v>-5724</v>
      </c>
      <c r="V222" s="85">
        <v>-3664</v>
      </c>
      <c r="X222" s="84">
        <v>5835</v>
      </c>
      <c r="Y222" s="84">
        <v>4203</v>
      </c>
      <c r="AA222" s="85">
        <f>VLOOKUP(A222,'Change in Proportion Calc'!$A$5:$H$319,8,FALSE)+I222+O222+T222+X222</f>
        <v>26486</v>
      </c>
      <c r="AC222" s="84">
        <f t="shared" si="9"/>
        <v>118564</v>
      </c>
      <c r="AD222" s="84">
        <f t="shared" si="10"/>
        <v>9388</v>
      </c>
      <c r="AF222" s="84">
        <f>VLOOKUP(A222,'OPEB Amounts_Report'!$A$10:$G$324,6,FALSE)</f>
        <v>110665</v>
      </c>
      <c r="AG222" s="85">
        <f t="shared" si="11"/>
        <v>7899</v>
      </c>
    </row>
    <row r="223" spans="1:33">
      <c r="A223" s="209">
        <v>26081</v>
      </c>
      <c r="B223" s="210" t="s">
        <v>213</v>
      </c>
      <c r="C223" s="123">
        <f>VLOOKUP($A223,'Change in Proportion Calc'!$A$5:$P$319,12,FALSE)</f>
        <v>-71567</v>
      </c>
      <c r="D223" s="123">
        <f>VLOOKUP($A223,'Change in Proportion Calc'!$A$5:$P$319,13,FALSE)</f>
        <v>-71567</v>
      </c>
      <c r="E223" s="123">
        <f>VLOOKUP($A223,'Change in Proportion Calc'!$A$5:$P$319,13,FALSE)</f>
        <v>-71567</v>
      </c>
      <c r="F223" s="123">
        <f>VLOOKUP($A223,'Change in Proportion Calc'!$A$5:$P$319,13,FALSE)</f>
        <v>-71567</v>
      </c>
      <c r="G223" s="123">
        <f>VLOOKUP($A223,'Change in Proportion Calc'!$A$5:$P$319,16,FALSE)</f>
        <v>-63694</v>
      </c>
      <c r="H223" s="167"/>
      <c r="I223" s="123">
        <v>-70866</v>
      </c>
      <c r="J223" s="123">
        <v>-70866</v>
      </c>
      <c r="K223" s="123">
        <v>-70866</v>
      </c>
      <c r="L223" s="123">
        <v>-70866</v>
      </c>
      <c r="M223" s="123">
        <v>-69447</v>
      </c>
      <c r="N223" s="167"/>
      <c r="O223" s="84">
        <v>46369</v>
      </c>
      <c r="P223" s="84">
        <v>46369</v>
      </c>
      <c r="Q223" s="84">
        <v>46369</v>
      </c>
      <c r="R223" s="85">
        <v>45443</v>
      </c>
      <c r="S223" s="167"/>
      <c r="T223" s="84">
        <v>-14747</v>
      </c>
      <c r="U223" s="84">
        <v>-14747</v>
      </c>
      <c r="V223" s="85">
        <v>-9438</v>
      </c>
      <c r="X223" s="84">
        <v>132950</v>
      </c>
      <c r="Y223" s="84">
        <v>95722</v>
      </c>
      <c r="AA223" s="85">
        <f>VLOOKUP(A223,'Change in Proportion Calc'!$A$5:$H$319,8,FALSE)+I223+O223+T223+X223</f>
        <v>22139</v>
      </c>
      <c r="AC223" s="84">
        <f t="shared" si="9"/>
        <v>233903</v>
      </c>
      <c r="AD223" s="84">
        <f t="shared" si="10"/>
        <v>656192</v>
      </c>
      <c r="AF223" s="84">
        <f>VLOOKUP(A223,'OPEB Amounts_Report'!$A$10:$G$324,6,FALSE)</f>
        <v>1052343</v>
      </c>
      <c r="AG223" s="85">
        <f t="shared" si="11"/>
        <v>-818440</v>
      </c>
    </row>
    <row r="224" spans="1:33">
      <c r="A224" s="164">
        <v>29305</v>
      </c>
      <c r="B224" s="168" t="s">
        <v>214</v>
      </c>
      <c r="C224" s="123">
        <f>VLOOKUP($A224,'Change in Proportion Calc'!$A$5:$P$319,12,FALSE)</f>
        <v>-18758</v>
      </c>
      <c r="D224" s="123">
        <f>VLOOKUP($A224,'Change in Proportion Calc'!$A$5:$P$319,13,FALSE)</f>
        <v>-18758</v>
      </c>
      <c r="E224" s="123">
        <f>VLOOKUP($A224,'Change in Proportion Calc'!$A$5:$P$319,13,FALSE)</f>
        <v>-18758</v>
      </c>
      <c r="F224" s="123">
        <f>VLOOKUP($A224,'Change in Proportion Calc'!$A$5:$P$319,13,FALSE)</f>
        <v>-18758</v>
      </c>
      <c r="G224" s="123">
        <f>VLOOKUP($A224,'Change in Proportion Calc'!$A$5:$P$319,16,FALSE)</f>
        <v>-16696</v>
      </c>
      <c r="H224" s="167"/>
      <c r="I224" s="123">
        <v>-10529</v>
      </c>
      <c r="J224" s="123">
        <v>-10529</v>
      </c>
      <c r="K224" s="123">
        <v>-10529</v>
      </c>
      <c r="L224" s="123">
        <v>-10529</v>
      </c>
      <c r="M224" s="123">
        <v>-10316</v>
      </c>
      <c r="N224" s="167"/>
      <c r="O224" s="84">
        <v>3349</v>
      </c>
      <c r="P224" s="84">
        <v>3349</v>
      </c>
      <c r="Q224" s="84">
        <v>3349</v>
      </c>
      <c r="R224" s="85">
        <v>3281</v>
      </c>
      <c r="S224" s="167"/>
      <c r="T224" s="84">
        <v>17561</v>
      </c>
      <c r="U224" s="84">
        <v>17561</v>
      </c>
      <c r="V224" s="85">
        <v>11237</v>
      </c>
      <c r="X224" s="84">
        <v>26065</v>
      </c>
      <c r="Y224" s="84">
        <v>18765</v>
      </c>
      <c r="AA224" s="85">
        <f>VLOOKUP(A224,'Change in Proportion Calc'!$A$5:$H$319,8,FALSE)+I224+O224+T224+X224</f>
        <v>17688</v>
      </c>
      <c r="AC224" s="84">
        <f t="shared" si="9"/>
        <v>57542</v>
      </c>
      <c r="AD224" s="84">
        <f t="shared" si="10"/>
        <v>133631</v>
      </c>
      <c r="AF224" s="84">
        <f>VLOOKUP(A224,'OPEB Amounts_Report'!$A$10:$G$324,6,FALSE)</f>
        <v>77017</v>
      </c>
      <c r="AG224" s="85">
        <f t="shared" si="11"/>
        <v>-19475</v>
      </c>
    </row>
    <row r="225" spans="1:33">
      <c r="A225" s="166">
        <v>10032</v>
      </c>
      <c r="B225" s="167" t="s">
        <v>215</v>
      </c>
      <c r="C225" s="123">
        <f>VLOOKUP($A225,'Change in Proportion Calc'!$A$5:$P$319,12,FALSE)</f>
        <v>-9144</v>
      </c>
      <c r="D225" s="123">
        <f>VLOOKUP($A225,'Change in Proportion Calc'!$A$5:$P$319,13,FALSE)</f>
        <v>-9144</v>
      </c>
      <c r="E225" s="123">
        <f>VLOOKUP($A225,'Change in Proportion Calc'!$A$5:$P$319,13,FALSE)</f>
        <v>-9144</v>
      </c>
      <c r="F225" s="123">
        <f>VLOOKUP($A225,'Change in Proportion Calc'!$A$5:$P$319,13,FALSE)</f>
        <v>-9144</v>
      </c>
      <c r="G225" s="123">
        <f>VLOOKUP($A225,'Change in Proportion Calc'!$A$5:$P$319,16,FALSE)</f>
        <v>-8136</v>
      </c>
      <c r="H225" s="167"/>
      <c r="I225" s="123">
        <v>-4373</v>
      </c>
      <c r="J225" s="123">
        <v>-4373</v>
      </c>
      <c r="K225" s="123">
        <v>-4373</v>
      </c>
      <c r="L225" s="123">
        <v>-4373</v>
      </c>
      <c r="M225" s="123">
        <v>-4288</v>
      </c>
      <c r="N225" s="167"/>
      <c r="O225" s="84">
        <v>-15456</v>
      </c>
      <c r="P225" s="84">
        <v>-15456</v>
      </c>
      <c r="Q225" s="84">
        <v>-15456</v>
      </c>
      <c r="R225" s="85">
        <v>-15149</v>
      </c>
      <c r="S225" s="167"/>
      <c r="T225" s="84">
        <v>-14941</v>
      </c>
      <c r="U225" s="84">
        <v>-14941</v>
      </c>
      <c r="V225" s="85">
        <v>-9562</v>
      </c>
      <c r="X225" s="84">
        <v>22077</v>
      </c>
      <c r="Y225" s="84">
        <v>15897</v>
      </c>
      <c r="AA225" s="85">
        <f>VLOOKUP(A225,'Change in Proportion Calc'!$A$5:$H$319,8,FALSE)+I225+O225+T225+X225</f>
        <v>-21837</v>
      </c>
      <c r="AC225" s="84">
        <f t="shared" si="9"/>
        <v>15897</v>
      </c>
      <c r="AD225" s="84">
        <f t="shared" si="10"/>
        <v>132683</v>
      </c>
      <c r="AF225" s="84">
        <f>VLOOKUP(A225,'OPEB Amounts_Report'!$A$10:$G$324,6,FALSE)</f>
        <v>120468</v>
      </c>
      <c r="AG225" s="85">
        <f t="shared" si="11"/>
        <v>-104571</v>
      </c>
    </row>
    <row r="226" spans="1:33">
      <c r="A226" s="164">
        <v>32107</v>
      </c>
      <c r="B226" s="168" t="s">
        <v>216</v>
      </c>
      <c r="C226" s="123">
        <f>VLOOKUP($A226,'Change in Proportion Calc'!$A$5:$P$319,12,FALSE)</f>
        <v>-19539</v>
      </c>
      <c r="D226" s="123">
        <f>VLOOKUP($A226,'Change in Proportion Calc'!$A$5:$P$319,13,FALSE)</f>
        <v>-19539</v>
      </c>
      <c r="E226" s="123">
        <f>VLOOKUP($A226,'Change in Proportion Calc'!$A$5:$P$319,13,FALSE)</f>
        <v>-19539</v>
      </c>
      <c r="F226" s="123">
        <f>VLOOKUP($A226,'Change in Proportion Calc'!$A$5:$P$319,13,FALSE)</f>
        <v>-19539</v>
      </c>
      <c r="G226" s="123">
        <f>VLOOKUP($A226,'Change in Proportion Calc'!$A$5:$P$319,16,FALSE)</f>
        <v>-17392</v>
      </c>
      <c r="H226" s="167"/>
      <c r="I226" s="123">
        <v>-11257</v>
      </c>
      <c r="J226" s="123">
        <v>-11257</v>
      </c>
      <c r="K226" s="123">
        <v>-11257</v>
      </c>
      <c r="L226" s="123">
        <v>-11257</v>
      </c>
      <c r="M226" s="123">
        <v>-11034</v>
      </c>
      <c r="N226" s="167"/>
      <c r="O226" s="84">
        <v>-50491</v>
      </c>
      <c r="P226" s="84">
        <v>-50491</v>
      </c>
      <c r="Q226" s="84">
        <v>-50491</v>
      </c>
      <c r="R226" s="85">
        <v>-49481</v>
      </c>
      <c r="S226" s="167"/>
      <c r="T226" s="84">
        <v>-73735</v>
      </c>
      <c r="U226" s="84">
        <v>-73735</v>
      </c>
      <c r="V226" s="85">
        <v>-47189</v>
      </c>
      <c r="X226" s="84">
        <v>22758</v>
      </c>
      <c r="Y226" s="84">
        <v>16386</v>
      </c>
      <c r="AA226" s="85">
        <f>VLOOKUP(A226,'Change in Proportion Calc'!$A$5:$H$319,8,FALSE)+I226+O226+T226+X226</f>
        <v>-132265</v>
      </c>
      <c r="AC226" s="84">
        <f t="shared" si="9"/>
        <v>16386</v>
      </c>
      <c r="AD226" s="84">
        <f t="shared" si="10"/>
        <v>411740</v>
      </c>
      <c r="AF226" s="84">
        <f>VLOOKUP(A226,'OPEB Amounts_Report'!$A$10:$G$324,6,FALSE)</f>
        <v>147576</v>
      </c>
      <c r="AG226" s="85">
        <f t="shared" si="11"/>
        <v>-131190</v>
      </c>
    </row>
    <row r="227" spans="1:33">
      <c r="A227" s="166">
        <v>3260</v>
      </c>
      <c r="B227" s="167" t="s">
        <v>217</v>
      </c>
      <c r="C227" s="123">
        <f>VLOOKUP($A227,'Change in Proportion Calc'!$A$5:$P$319,12,FALSE)</f>
        <v>-320889</v>
      </c>
      <c r="D227" s="123">
        <f>VLOOKUP($A227,'Change in Proportion Calc'!$A$5:$P$319,13,FALSE)</f>
        <v>-320889</v>
      </c>
      <c r="E227" s="123">
        <f>VLOOKUP($A227,'Change in Proportion Calc'!$A$5:$P$319,13,FALSE)</f>
        <v>-320889</v>
      </c>
      <c r="F227" s="123">
        <f>VLOOKUP($A227,'Change in Proportion Calc'!$A$5:$P$319,13,FALSE)</f>
        <v>-320889</v>
      </c>
      <c r="G227" s="123">
        <f>VLOOKUP($A227,'Change in Proportion Calc'!$A$5:$P$319,16,FALSE)</f>
        <v>-285590</v>
      </c>
      <c r="H227" s="167"/>
      <c r="I227" s="123">
        <v>-185304</v>
      </c>
      <c r="J227" s="123">
        <v>-185304</v>
      </c>
      <c r="K227" s="123">
        <v>-185304</v>
      </c>
      <c r="L227" s="123">
        <v>-185304</v>
      </c>
      <c r="M227" s="123">
        <v>-181597</v>
      </c>
      <c r="N227" s="167"/>
      <c r="O227" s="84">
        <v>-292127</v>
      </c>
      <c r="P227" s="84">
        <v>-292127</v>
      </c>
      <c r="Q227" s="84">
        <v>-292127</v>
      </c>
      <c r="R227" s="85">
        <v>-286282</v>
      </c>
      <c r="S227" s="167"/>
      <c r="T227" s="84">
        <v>-886272</v>
      </c>
      <c r="U227" s="84">
        <v>-886272</v>
      </c>
      <c r="V227" s="85">
        <v>-567212</v>
      </c>
      <c r="X227" s="84">
        <v>586262</v>
      </c>
      <c r="Y227" s="84">
        <v>422109</v>
      </c>
      <c r="AA227" s="85">
        <f>VLOOKUP(A227,'Change in Proportion Calc'!$A$5:$H$319,8,FALSE)+I227+O227+T227+X227</f>
        <v>-1098330</v>
      </c>
      <c r="AC227" s="84">
        <f t="shared" si="9"/>
        <v>422109</v>
      </c>
      <c r="AD227" s="84">
        <f t="shared" si="10"/>
        <v>4630675</v>
      </c>
      <c r="AF227" s="84">
        <f>VLOOKUP(A227,'OPEB Amounts_Report'!$A$10:$G$324,6,FALSE)</f>
        <v>2777528</v>
      </c>
      <c r="AG227" s="85">
        <f t="shared" si="11"/>
        <v>-2355419</v>
      </c>
    </row>
    <row r="228" spans="1:33">
      <c r="A228" s="164">
        <v>4390</v>
      </c>
      <c r="B228" s="168" t="s">
        <v>218</v>
      </c>
      <c r="C228" s="123">
        <f>VLOOKUP($A228,'Change in Proportion Calc'!$A$5:$P$319,12,FALSE)</f>
        <v>-2159</v>
      </c>
      <c r="D228" s="123">
        <f>VLOOKUP($A228,'Change in Proportion Calc'!$A$5:$P$319,13,FALSE)</f>
        <v>-2159</v>
      </c>
      <c r="E228" s="123">
        <f>VLOOKUP($A228,'Change in Proportion Calc'!$A$5:$P$319,13,FALSE)</f>
        <v>-2159</v>
      </c>
      <c r="F228" s="123">
        <f>VLOOKUP($A228,'Change in Proportion Calc'!$A$5:$P$319,13,FALSE)</f>
        <v>-2159</v>
      </c>
      <c r="G228" s="123">
        <f>VLOOKUP($A228,'Change in Proportion Calc'!$A$5:$P$319,16,FALSE)</f>
        <v>-1922</v>
      </c>
      <c r="H228" s="167"/>
      <c r="I228" s="123">
        <v>3888</v>
      </c>
      <c r="J228" s="123">
        <v>3888</v>
      </c>
      <c r="K228" s="123">
        <v>3888</v>
      </c>
      <c r="L228" s="123">
        <v>3888</v>
      </c>
      <c r="M228" s="123">
        <v>3808</v>
      </c>
      <c r="N228" s="167"/>
      <c r="O228" s="84">
        <v>1546</v>
      </c>
      <c r="P228" s="84">
        <v>1546</v>
      </c>
      <c r="Q228" s="84">
        <v>1546</v>
      </c>
      <c r="R228" s="85">
        <v>1513</v>
      </c>
      <c r="S228" s="167"/>
      <c r="T228" s="84">
        <v>-1941</v>
      </c>
      <c r="U228" s="84">
        <v>-1941</v>
      </c>
      <c r="V228" s="85">
        <v>-1240</v>
      </c>
      <c r="X228" s="84">
        <v>4279</v>
      </c>
      <c r="Y228" s="84">
        <v>3083</v>
      </c>
      <c r="AA228" s="85">
        <f>VLOOKUP(A228,'Change in Proportion Calc'!$A$5:$H$319,8,FALSE)+I228+O228+T228+X228</f>
        <v>5613</v>
      </c>
      <c r="AC228" s="84">
        <f t="shared" si="9"/>
        <v>23160</v>
      </c>
      <c r="AD228" s="84">
        <f t="shared" si="10"/>
        <v>13739</v>
      </c>
      <c r="AF228" s="84">
        <f>VLOOKUP(A228,'OPEB Amounts_Report'!$A$10:$G$324,6,FALSE)</f>
        <v>29103</v>
      </c>
      <c r="AG228" s="85">
        <f t="shared" si="11"/>
        <v>-5943</v>
      </c>
    </row>
    <row r="229" spans="1:33">
      <c r="A229" s="166">
        <v>3270</v>
      </c>
      <c r="B229" s="167" t="s">
        <v>219</v>
      </c>
      <c r="C229" s="123">
        <f>VLOOKUP($A229,'Change in Proportion Calc'!$A$5:$P$319,12,FALSE)</f>
        <v>-32156</v>
      </c>
      <c r="D229" s="123">
        <f>VLOOKUP($A229,'Change in Proportion Calc'!$A$5:$P$319,13,FALSE)</f>
        <v>-32156</v>
      </c>
      <c r="E229" s="123">
        <f>VLOOKUP($A229,'Change in Proportion Calc'!$A$5:$P$319,13,FALSE)</f>
        <v>-32156</v>
      </c>
      <c r="F229" s="123">
        <f>VLOOKUP($A229,'Change in Proportion Calc'!$A$5:$P$319,13,FALSE)</f>
        <v>-32156</v>
      </c>
      <c r="G229" s="123">
        <f>VLOOKUP($A229,'Change in Proportion Calc'!$A$5:$P$319,16,FALSE)</f>
        <v>-28621</v>
      </c>
      <c r="H229" s="167"/>
      <c r="I229" s="123">
        <v>-31343</v>
      </c>
      <c r="J229" s="123">
        <v>-31343</v>
      </c>
      <c r="K229" s="123">
        <v>-31343</v>
      </c>
      <c r="L229" s="123">
        <v>-31343</v>
      </c>
      <c r="M229" s="123">
        <v>-30716</v>
      </c>
      <c r="N229" s="167"/>
      <c r="O229" s="84">
        <v>-29968</v>
      </c>
      <c r="P229" s="84">
        <v>-29968</v>
      </c>
      <c r="Q229" s="84">
        <v>-29968</v>
      </c>
      <c r="R229" s="85">
        <v>-29370</v>
      </c>
      <c r="S229" s="167"/>
      <c r="T229" s="84">
        <v>-8732</v>
      </c>
      <c r="U229" s="84">
        <v>-8732</v>
      </c>
      <c r="V229" s="85">
        <v>-5587</v>
      </c>
      <c r="X229" s="84">
        <v>1167</v>
      </c>
      <c r="Y229" s="84">
        <v>841</v>
      </c>
      <c r="AA229" s="85">
        <f>VLOOKUP(A229,'Change in Proportion Calc'!$A$5:$H$319,8,FALSE)+I229+O229+T229+X229</f>
        <v>-101032</v>
      </c>
      <c r="AC229" s="84">
        <f t="shared" si="9"/>
        <v>841</v>
      </c>
      <c r="AD229" s="84">
        <f t="shared" si="10"/>
        <v>385615</v>
      </c>
      <c r="AF229" s="84">
        <f>VLOOKUP(A229,'OPEB Amounts_Report'!$A$10:$G$324,6,FALSE)</f>
        <v>406419</v>
      </c>
      <c r="AG229" s="85">
        <f t="shared" si="11"/>
        <v>-405578</v>
      </c>
    </row>
    <row r="230" spans="1:33">
      <c r="A230" s="164">
        <v>29303</v>
      </c>
      <c r="B230" s="168" t="s">
        <v>220</v>
      </c>
      <c r="C230" s="123">
        <f>VLOOKUP($A230,'Change in Proportion Calc'!$A$5:$P$319,12,FALSE)</f>
        <v>39776</v>
      </c>
      <c r="D230" s="123">
        <f>VLOOKUP($A230,'Change in Proportion Calc'!$A$5:$P$319,13,FALSE)</f>
        <v>39776</v>
      </c>
      <c r="E230" s="123">
        <f>VLOOKUP($A230,'Change in Proportion Calc'!$A$5:$P$319,13,FALSE)</f>
        <v>39776</v>
      </c>
      <c r="F230" s="123">
        <f>VLOOKUP($A230,'Change in Proportion Calc'!$A$5:$P$319,13,FALSE)</f>
        <v>39776</v>
      </c>
      <c r="G230" s="123">
        <f>VLOOKUP($A230,'Change in Proportion Calc'!$A$5:$P$319,16,FALSE)</f>
        <v>35401</v>
      </c>
      <c r="H230" s="167"/>
      <c r="I230" s="123">
        <v>22191</v>
      </c>
      <c r="J230" s="123">
        <v>22191</v>
      </c>
      <c r="K230" s="123">
        <v>22191</v>
      </c>
      <c r="L230" s="123">
        <v>22191</v>
      </c>
      <c r="M230" s="123">
        <v>21748</v>
      </c>
      <c r="N230" s="167"/>
      <c r="O230" s="84">
        <v>59078</v>
      </c>
      <c r="P230" s="84">
        <v>59078</v>
      </c>
      <c r="Q230" s="84">
        <v>59078</v>
      </c>
      <c r="R230" s="85">
        <v>57896</v>
      </c>
      <c r="S230" s="167"/>
      <c r="T230" s="84">
        <v>25613</v>
      </c>
      <c r="U230" s="84">
        <v>25613</v>
      </c>
      <c r="V230" s="85">
        <v>16393</v>
      </c>
      <c r="X230" s="84">
        <v>-25092</v>
      </c>
      <c r="Y230" s="84">
        <v>-18067</v>
      </c>
      <c r="AA230" s="85">
        <f>VLOOKUP(A230,'Change in Proportion Calc'!$A$5:$H$319,8,FALSE)+I230+O230+T230+X230</f>
        <v>121566</v>
      </c>
      <c r="AC230" s="84">
        <f t="shared" si="9"/>
        <v>500884</v>
      </c>
      <c r="AD230" s="84">
        <f t="shared" si="10"/>
        <v>18067</v>
      </c>
      <c r="AF230" s="84">
        <f>VLOOKUP(A230,'OPEB Amounts_Report'!$A$10:$G$324,6,FALSE)</f>
        <v>127523</v>
      </c>
      <c r="AG230" s="85">
        <f t="shared" si="11"/>
        <v>373361</v>
      </c>
    </row>
    <row r="231" spans="1:33">
      <c r="A231" s="166">
        <v>3280</v>
      </c>
      <c r="B231" s="167" t="s">
        <v>221</v>
      </c>
      <c r="C231" s="123">
        <f>VLOOKUP($A231,'Change in Proportion Calc'!$A$5:$P$319,12,FALSE)</f>
        <v>-75384</v>
      </c>
      <c r="D231" s="123">
        <f>VLOOKUP($A231,'Change in Proportion Calc'!$A$5:$P$319,13,FALSE)</f>
        <v>-75384</v>
      </c>
      <c r="E231" s="123">
        <f>VLOOKUP($A231,'Change in Proportion Calc'!$A$5:$P$319,13,FALSE)</f>
        <v>-75384</v>
      </c>
      <c r="F231" s="123">
        <f>VLOOKUP($A231,'Change in Proportion Calc'!$A$5:$P$319,13,FALSE)</f>
        <v>-75384</v>
      </c>
      <c r="G231" s="123">
        <f>VLOOKUP($A231,'Change in Proportion Calc'!$A$5:$P$319,16,FALSE)</f>
        <v>-67090</v>
      </c>
      <c r="H231" s="167"/>
      <c r="I231" s="123">
        <v>176800</v>
      </c>
      <c r="J231" s="123">
        <v>176800</v>
      </c>
      <c r="K231" s="123">
        <v>176800</v>
      </c>
      <c r="L231" s="123">
        <v>176800</v>
      </c>
      <c r="M231" s="123">
        <v>173264</v>
      </c>
      <c r="N231" s="167"/>
      <c r="O231" s="84">
        <v>-181527</v>
      </c>
      <c r="P231" s="84">
        <v>-181527</v>
      </c>
      <c r="Q231" s="84">
        <v>-181527</v>
      </c>
      <c r="R231" s="85">
        <v>-177898</v>
      </c>
      <c r="S231" s="167"/>
      <c r="T231" s="84">
        <v>-823015</v>
      </c>
      <c r="U231" s="84">
        <v>-823015</v>
      </c>
      <c r="V231" s="85">
        <v>-526729</v>
      </c>
      <c r="X231" s="84">
        <v>685464</v>
      </c>
      <c r="Y231" s="84">
        <v>493533</v>
      </c>
      <c r="AA231" s="85">
        <f>VLOOKUP(A231,'Change in Proportion Calc'!$A$5:$H$319,8,FALSE)+I231+O231+T231+X231</f>
        <v>-217662</v>
      </c>
      <c r="AC231" s="84">
        <f t="shared" si="9"/>
        <v>1197197</v>
      </c>
      <c r="AD231" s="84">
        <f t="shared" si="10"/>
        <v>2259322</v>
      </c>
      <c r="AF231" s="84">
        <f>VLOOKUP(A231,'OPEB Amounts_Report'!$A$10:$G$324,6,FALSE)</f>
        <v>2054107</v>
      </c>
      <c r="AG231" s="85">
        <f t="shared" si="11"/>
        <v>-856910</v>
      </c>
    </row>
    <row r="232" spans="1:33">
      <c r="A232" s="164">
        <v>4260</v>
      </c>
      <c r="B232" s="168" t="s">
        <v>222</v>
      </c>
      <c r="C232" s="123">
        <f>VLOOKUP($A232,'Change in Proportion Calc'!$A$5:$P$319,12,FALSE)</f>
        <v>31084</v>
      </c>
      <c r="D232" s="123">
        <f>VLOOKUP($A232,'Change in Proportion Calc'!$A$5:$P$319,13,FALSE)</f>
        <v>31084</v>
      </c>
      <c r="E232" s="123">
        <f>VLOOKUP($A232,'Change in Proportion Calc'!$A$5:$P$319,13,FALSE)</f>
        <v>31084</v>
      </c>
      <c r="F232" s="123">
        <f>VLOOKUP($A232,'Change in Proportion Calc'!$A$5:$P$319,13,FALSE)</f>
        <v>31084</v>
      </c>
      <c r="G232" s="123">
        <f>VLOOKUP($A232,'Change in Proportion Calc'!$A$5:$P$319,16,FALSE)</f>
        <v>27667</v>
      </c>
      <c r="H232" s="167"/>
      <c r="I232" s="123">
        <v>-13930</v>
      </c>
      <c r="J232" s="123">
        <v>-13930</v>
      </c>
      <c r="K232" s="123">
        <v>-13930</v>
      </c>
      <c r="L232" s="123">
        <v>-13930</v>
      </c>
      <c r="M232" s="123">
        <v>-13653</v>
      </c>
      <c r="N232" s="167"/>
      <c r="O232" s="84">
        <v>-6011</v>
      </c>
      <c r="P232" s="84">
        <v>-6011</v>
      </c>
      <c r="Q232" s="84">
        <v>-6011</v>
      </c>
      <c r="R232" s="85">
        <v>-5890</v>
      </c>
      <c r="S232" s="167"/>
      <c r="T232" s="84">
        <v>12128</v>
      </c>
      <c r="U232" s="84">
        <v>12128</v>
      </c>
      <c r="V232" s="85">
        <v>7760</v>
      </c>
      <c r="X232" s="84">
        <v>15172</v>
      </c>
      <c r="Y232" s="84">
        <v>10924</v>
      </c>
      <c r="AA232" s="85">
        <f>VLOOKUP(A232,'Change in Proportion Calc'!$A$5:$H$319,8,FALSE)+I232+O232+T232+X232</f>
        <v>38443</v>
      </c>
      <c r="AC232" s="84">
        <f t="shared" si="9"/>
        <v>182815</v>
      </c>
      <c r="AD232" s="84">
        <f t="shared" si="10"/>
        <v>73355</v>
      </c>
      <c r="AF232" s="84">
        <f>VLOOKUP(A232,'OPEB Amounts_Report'!$A$10:$G$324,6,FALSE)</f>
        <v>174995</v>
      </c>
      <c r="AG232" s="85">
        <f t="shared" si="11"/>
        <v>7820</v>
      </c>
    </row>
    <row r="233" spans="1:33">
      <c r="A233" s="166">
        <v>1003</v>
      </c>
      <c r="B233" s="167" t="s">
        <v>223</v>
      </c>
      <c r="C233" s="123">
        <f>VLOOKUP($A233,'Change in Proportion Calc'!$A$5:$P$319,12,FALSE)</f>
        <v>-103353</v>
      </c>
      <c r="D233" s="123">
        <f>VLOOKUP($A233,'Change in Proportion Calc'!$A$5:$P$319,13,FALSE)</f>
        <v>-103353</v>
      </c>
      <c r="E233" s="123">
        <f>VLOOKUP($A233,'Change in Proportion Calc'!$A$5:$P$319,13,FALSE)</f>
        <v>-103353</v>
      </c>
      <c r="F233" s="123">
        <f>VLOOKUP($A233,'Change in Proportion Calc'!$A$5:$P$319,13,FALSE)</f>
        <v>-103353</v>
      </c>
      <c r="G233" s="123">
        <f>VLOOKUP($A233,'Change in Proportion Calc'!$A$5:$P$319,16,FALSE)</f>
        <v>-91982</v>
      </c>
      <c r="H233" s="167"/>
      <c r="I233" s="123">
        <v>-295854</v>
      </c>
      <c r="J233" s="123">
        <v>-295854</v>
      </c>
      <c r="K233" s="123">
        <v>-295854</v>
      </c>
      <c r="L233" s="123">
        <v>-295854</v>
      </c>
      <c r="M233" s="123">
        <v>-289939</v>
      </c>
      <c r="N233" s="167"/>
      <c r="O233" s="84">
        <v>-173713</v>
      </c>
      <c r="P233" s="84">
        <v>-173713</v>
      </c>
      <c r="Q233" s="84">
        <v>-173713</v>
      </c>
      <c r="R233" s="85">
        <v>-170240</v>
      </c>
      <c r="S233" s="167"/>
      <c r="T233" s="84">
        <v>-126513</v>
      </c>
      <c r="U233" s="84">
        <v>-126513</v>
      </c>
      <c r="V233" s="85">
        <v>-80969</v>
      </c>
      <c r="X233" s="84">
        <v>-457689</v>
      </c>
      <c r="Y233" s="84">
        <v>-329536</v>
      </c>
      <c r="AA233" s="85">
        <f>VLOOKUP(A233,'Change in Proportion Calc'!$A$5:$H$319,8,FALSE)+I233+O233+T233+X233</f>
        <v>-1157122</v>
      </c>
      <c r="AC233" s="84">
        <f t="shared" si="9"/>
        <v>0</v>
      </c>
      <c r="AD233" s="84">
        <f t="shared" si="10"/>
        <v>2737579</v>
      </c>
      <c r="AF233" s="84">
        <f>VLOOKUP(A233,'OPEB Amounts_Report'!$A$10:$G$324,6,FALSE)</f>
        <v>2088877</v>
      </c>
      <c r="AG233" s="85">
        <f t="shared" si="11"/>
        <v>-2088877</v>
      </c>
    </row>
    <row r="234" spans="1:33">
      <c r="A234" s="164">
        <v>3290</v>
      </c>
      <c r="B234" s="168" t="s">
        <v>224</v>
      </c>
      <c r="C234" s="123">
        <f>VLOOKUP($A234,'Change in Proportion Calc'!$A$5:$P$319,12,FALSE)</f>
        <v>-393002</v>
      </c>
      <c r="D234" s="123">
        <f>VLOOKUP($A234,'Change in Proportion Calc'!$A$5:$P$319,13,FALSE)</f>
        <v>-393002</v>
      </c>
      <c r="E234" s="123">
        <f>VLOOKUP($A234,'Change in Proportion Calc'!$A$5:$P$319,13,FALSE)</f>
        <v>-393002</v>
      </c>
      <c r="F234" s="123">
        <f>VLOOKUP($A234,'Change in Proportion Calc'!$A$5:$P$319,13,FALSE)</f>
        <v>-393002</v>
      </c>
      <c r="G234" s="123">
        <f>VLOOKUP($A234,'Change in Proportion Calc'!$A$5:$P$319,16,FALSE)</f>
        <v>-349770</v>
      </c>
      <c r="H234" s="167"/>
      <c r="I234" s="123">
        <v>-260948</v>
      </c>
      <c r="J234" s="123">
        <v>-260948</v>
      </c>
      <c r="K234" s="123">
        <v>-260948</v>
      </c>
      <c r="L234" s="123">
        <v>-260948</v>
      </c>
      <c r="M234" s="123">
        <v>-255729</v>
      </c>
      <c r="N234" s="167"/>
      <c r="O234" s="84">
        <v>-691074</v>
      </c>
      <c r="P234" s="84">
        <v>-691074</v>
      </c>
      <c r="Q234" s="84">
        <v>-691074</v>
      </c>
      <c r="R234" s="85">
        <v>-677255</v>
      </c>
      <c r="S234" s="167"/>
      <c r="T234" s="84">
        <v>-17269</v>
      </c>
      <c r="U234" s="84">
        <v>-17269</v>
      </c>
      <c r="V234" s="85">
        <v>-11054</v>
      </c>
      <c r="X234" s="84">
        <v>446699</v>
      </c>
      <c r="Y234" s="84">
        <v>321624</v>
      </c>
      <c r="AA234" s="85">
        <f>VLOOKUP(A234,'Change in Proportion Calc'!$A$5:$H$319,8,FALSE)+I234+O234+T234+X234</f>
        <v>-915594</v>
      </c>
      <c r="AC234" s="84">
        <f t="shared" si="9"/>
        <v>321624</v>
      </c>
      <c r="AD234" s="84">
        <f t="shared" si="10"/>
        <v>5048077</v>
      </c>
      <c r="AF234" s="84">
        <f>VLOOKUP(A234,'OPEB Amounts_Report'!$A$10:$G$324,6,FALSE)</f>
        <v>4331778</v>
      </c>
      <c r="AG234" s="85">
        <f t="shared" si="11"/>
        <v>-4010154</v>
      </c>
    </row>
    <row r="235" spans="1:33">
      <c r="A235" s="166">
        <v>1002</v>
      </c>
      <c r="B235" s="167" t="s">
        <v>225</v>
      </c>
      <c r="C235" s="123">
        <f>VLOOKUP($A235,'Change in Proportion Calc'!$A$5:$P$319,12,FALSE)</f>
        <v>-193253</v>
      </c>
      <c r="D235" s="123">
        <f>VLOOKUP($A235,'Change in Proportion Calc'!$A$5:$P$319,13,FALSE)</f>
        <v>-193253</v>
      </c>
      <c r="E235" s="123">
        <f>VLOOKUP($A235,'Change in Proportion Calc'!$A$5:$P$319,13,FALSE)</f>
        <v>-193253</v>
      </c>
      <c r="F235" s="123">
        <f>VLOOKUP($A235,'Change in Proportion Calc'!$A$5:$P$319,13,FALSE)</f>
        <v>-193253</v>
      </c>
      <c r="G235" s="123">
        <f>VLOOKUP($A235,'Change in Proportion Calc'!$A$5:$P$319,16,FALSE)</f>
        <v>-171995</v>
      </c>
      <c r="H235" s="167"/>
      <c r="I235" s="123">
        <v>-361213</v>
      </c>
      <c r="J235" s="123">
        <v>-361213</v>
      </c>
      <c r="K235" s="123">
        <v>-361213</v>
      </c>
      <c r="L235" s="123">
        <v>-361213</v>
      </c>
      <c r="M235" s="123">
        <v>-353989</v>
      </c>
      <c r="N235" s="167"/>
      <c r="O235" s="84">
        <v>506027</v>
      </c>
      <c r="P235" s="84">
        <v>506027</v>
      </c>
      <c r="Q235" s="84">
        <v>506027</v>
      </c>
      <c r="R235" s="85">
        <v>495904</v>
      </c>
      <c r="S235" s="167"/>
      <c r="T235" s="84">
        <v>204905</v>
      </c>
      <c r="U235" s="84">
        <v>204905</v>
      </c>
      <c r="V235" s="85">
        <v>131138</v>
      </c>
      <c r="X235" s="84">
        <v>-334465</v>
      </c>
      <c r="Y235" s="84">
        <v>-240815</v>
      </c>
      <c r="AA235" s="85">
        <f>VLOOKUP(A235,'Change in Proportion Calc'!$A$5:$H$319,8,FALSE)+I235+O235+T235+X235</f>
        <v>-177999</v>
      </c>
      <c r="AC235" s="84">
        <f t="shared" si="9"/>
        <v>1844001</v>
      </c>
      <c r="AD235" s="84">
        <f t="shared" si="10"/>
        <v>2623450</v>
      </c>
      <c r="AF235" s="84">
        <f>VLOOKUP(A235,'OPEB Amounts_Report'!$A$10:$G$324,6,FALSE)</f>
        <v>8469071</v>
      </c>
      <c r="AG235" s="85">
        <f t="shared" si="11"/>
        <v>-6625070</v>
      </c>
    </row>
    <row r="236" spans="1:33">
      <c r="A236" s="166">
        <v>4270</v>
      </c>
      <c r="B236" s="167" t="s">
        <v>442</v>
      </c>
      <c r="C236" s="123">
        <f>VLOOKUP($A236,'Change in Proportion Calc'!$A$5:$P$319,12,FALSE)</f>
        <v>-4939</v>
      </c>
      <c r="D236" s="123">
        <f>VLOOKUP($A236,'Change in Proportion Calc'!$A$5:$P$319,13,FALSE)</f>
        <v>-4939</v>
      </c>
      <c r="E236" s="123">
        <f>VLOOKUP($A236,'Change in Proportion Calc'!$A$5:$P$319,13,FALSE)</f>
        <v>-4939</v>
      </c>
      <c r="F236" s="123">
        <f>VLOOKUP($A236,'Change in Proportion Calc'!$A$5:$P$319,13,FALSE)</f>
        <v>-4939</v>
      </c>
      <c r="G236" s="123">
        <f>VLOOKUP($A236,'Change in Proportion Calc'!$A$5:$P$319,16,FALSE)</f>
        <v>-4398</v>
      </c>
      <c r="H236" s="167"/>
      <c r="I236" s="123">
        <v>306464</v>
      </c>
      <c r="J236" s="123">
        <v>306464</v>
      </c>
      <c r="K236" s="123">
        <v>306464</v>
      </c>
      <c r="L236" s="123">
        <v>306464</v>
      </c>
      <c r="M236" s="123">
        <v>300335</v>
      </c>
      <c r="N236" s="167"/>
      <c r="O236" s="84">
        <v>0</v>
      </c>
      <c r="P236" s="84">
        <v>0</v>
      </c>
      <c r="Q236" s="84">
        <v>0</v>
      </c>
      <c r="R236" s="84">
        <v>0</v>
      </c>
      <c r="S236" s="167"/>
      <c r="T236" s="84">
        <v>0</v>
      </c>
      <c r="U236" s="84">
        <v>0</v>
      </c>
      <c r="V236" s="84">
        <v>0</v>
      </c>
      <c r="X236" s="84">
        <v>0</v>
      </c>
      <c r="Y236" s="84">
        <v>0</v>
      </c>
      <c r="AA236" s="85">
        <f>VLOOKUP(A236,'Change in Proportion Calc'!$A$5:$H$319,8,FALSE)+I236+O236+T236+X236</f>
        <v>301525</v>
      </c>
      <c r="AC236" s="84">
        <f t="shared" si="9"/>
        <v>1219727</v>
      </c>
      <c r="AD236" s="84">
        <f t="shared" si="10"/>
        <v>24154</v>
      </c>
      <c r="AF236" s="84">
        <f>VLOOKUP(A236,'OPEB Amounts_Report'!$A$10:$G$324,6,FALSE)</f>
        <v>183375</v>
      </c>
      <c r="AG236" s="85">
        <f t="shared" si="11"/>
        <v>1036352</v>
      </c>
    </row>
    <row r="237" spans="1:33">
      <c r="A237" s="164">
        <v>24072</v>
      </c>
      <c r="B237" s="168" t="s">
        <v>226</v>
      </c>
      <c r="C237" s="123">
        <f>VLOOKUP($A237,'Change in Proportion Calc'!$A$5:$P$319,12,FALSE)</f>
        <v>66500</v>
      </c>
      <c r="D237" s="123">
        <f>VLOOKUP($A237,'Change in Proportion Calc'!$A$5:$P$319,13,FALSE)</f>
        <v>66500</v>
      </c>
      <c r="E237" s="123">
        <f>VLOOKUP($A237,'Change in Proportion Calc'!$A$5:$P$319,13,FALSE)</f>
        <v>66500</v>
      </c>
      <c r="F237" s="123">
        <f>VLOOKUP($A237,'Change in Proportion Calc'!$A$5:$P$319,13,FALSE)</f>
        <v>66500</v>
      </c>
      <c r="G237" s="123">
        <f>VLOOKUP($A237,'Change in Proportion Calc'!$A$5:$P$319,16,FALSE)</f>
        <v>59185</v>
      </c>
      <c r="H237" s="167"/>
      <c r="I237" s="123">
        <v>105286</v>
      </c>
      <c r="J237" s="123">
        <v>105286</v>
      </c>
      <c r="K237" s="123">
        <v>105286</v>
      </c>
      <c r="L237" s="123">
        <v>105286</v>
      </c>
      <c r="M237" s="123">
        <v>103182</v>
      </c>
      <c r="N237" s="167"/>
      <c r="O237" s="84">
        <v>15199</v>
      </c>
      <c r="P237" s="84">
        <v>15199</v>
      </c>
      <c r="Q237" s="84">
        <v>15199</v>
      </c>
      <c r="R237" s="85">
        <v>14894</v>
      </c>
      <c r="S237" s="167"/>
      <c r="T237" s="84">
        <v>33083</v>
      </c>
      <c r="U237" s="84">
        <v>33083</v>
      </c>
      <c r="V237" s="85">
        <v>21175</v>
      </c>
      <c r="X237" s="84">
        <v>-87142</v>
      </c>
      <c r="Y237" s="84">
        <v>-62741</v>
      </c>
      <c r="AA237" s="85">
        <f>VLOOKUP(A237,'Change in Proportion Calc'!$A$5:$H$319,8,FALSE)+I237+O237+T237+X237</f>
        <v>132926</v>
      </c>
      <c r="AC237" s="84">
        <f t="shared" si="9"/>
        <v>843775</v>
      </c>
      <c r="AD237" s="84">
        <f t="shared" si="10"/>
        <v>62741</v>
      </c>
      <c r="AF237" s="84">
        <f>VLOOKUP(A237,'OPEB Amounts_Report'!$A$10:$G$324,6,FALSE)</f>
        <v>654324</v>
      </c>
      <c r="AG237" s="85">
        <f t="shared" si="11"/>
        <v>189451</v>
      </c>
    </row>
    <row r="238" spans="1:33">
      <c r="A238" s="166">
        <v>14366</v>
      </c>
      <c r="B238" s="167" t="s">
        <v>227</v>
      </c>
      <c r="C238" s="123">
        <f>VLOOKUP($A238,'Change in Proportion Calc'!$A$5:$P$319,12,FALSE)</f>
        <v>102590</v>
      </c>
      <c r="D238" s="123">
        <f>VLOOKUP($A238,'Change in Proportion Calc'!$A$5:$P$319,13,FALSE)</f>
        <v>102590</v>
      </c>
      <c r="E238" s="123">
        <f>VLOOKUP($A238,'Change in Proportion Calc'!$A$5:$P$319,13,FALSE)</f>
        <v>102590</v>
      </c>
      <c r="F238" s="123">
        <f>VLOOKUP($A238,'Change in Proportion Calc'!$A$5:$P$319,13,FALSE)</f>
        <v>102590</v>
      </c>
      <c r="G238" s="123">
        <f>VLOOKUP($A238,'Change in Proportion Calc'!$A$5:$P$319,16,FALSE)</f>
        <v>91306</v>
      </c>
      <c r="H238" s="167"/>
      <c r="I238" s="123">
        <v>729</v>
      </c>
      <c r="J238" s="123">
        <v>729</v>
      </c>
      <c r="K238" s="123">
        <v>729</v>
      </c>
      <c r="L238" s="123">
        <v>729</v>
      </c>
      <c r="M238" s="123">
        <v>714</v>
      </c>
      <c r="N238" s="167"/>
      <c r="O238" s="84">
        <v>20695</v>
      </c>
      <c r="P238" s="84">
        <v>20695</v>
      </c>
      <c r="Q238" s="84">
        <v>20695</v>
      </c>
      <c r="R238" s="85">
        <v>20279</v>
      </c>
      <c r="S238" s="167"/>
      <c r="T238" s="84">
        <v>194</v>
      </c>
      <c r="U238" s="84">
        <v>194</v>
      </c>
      <c r="V238" s="85">
        <v>124</v>
      </c>
      <c r="X238" s="84">
        <v>-875</v>
      </c>
      <c r="Y238" s="84">
        <v>-632</v>
      </c>
      <c r="AA238" s="85">
        <f>VLOOKUP(A238,'Change in Proportion Calc'!$A$5:$H$319,8,FALSE)+I238+O238+T238+X238</f>
        <v>123333</v>
      </c>
      <c r="AC238" s="84">
        <f t="shared" si="9"/>
        <v>566554</v>
      </c>
      <c r="AD238" s="84">
        <f t="shared" si="10"/>
        <v>632</v>
      </c>
      <c r="AF238" s="84">
        <f>VLOOKUP(A238,'OPEB Amounts_Report'!$A$10:$G$324,6,FALSE)</f>
        <v>346047</v>
      </c>
      <c r="AG238" s="85">
        <f t="shared" si="11"/>
        <v>220507</v>
      </c>
    </row>
    <row r="239" spans="1:33">
      <c r="A239" s="164">
        <v>4317</v>
      </c>
      <c r="B239" s="168" t="s">
        <v>228</v>
      </c>
      <c r="C239" s="123">
        <f>VLOOKUP($A239,'Change in Proportion Calc'!$A$5:$P$319,12,FALSE)</f>
        <v>14205</v>
      </c>
      <c r="D239" s="123">
        <f>VLOOKUP($A239,'Change in Proportion Calc'!$A$5:$P$319,13,FALSE)</f>
        <v>14205</v>
      </c>
      <c r="E239" s="123">
        <f>VLOOKUP($A239,'Change in Proportion Calc'!$A$5:$P$319,13,FALSE)</f>
        <v>14205</v>
      </c>
      <c r="F239" s="123">
        <f>VLOOKUP($A239,'Change in Proportion Calc'!$A$5:$P$319,13,FALSE)</f>
        <v>14205</v>
      </c>
      <c r="G239" s="123">
        <f>VLOOKUP($A239,'Change in Proportion Calc'!$A$5:$P$319,16,FALSE)</f>
        <v>12643</v>
      </c>
      <c r="H239" s="167"/>
      <c r="I239" s="123">
        <v>105205</v>
      </c>
      <c r="J239" s="123">
        <v>105205</v>
      </c>
      <c r="K239" s="123">
        <v>105205</v>
      </c>
      <c r="L239" s="123">
        <v>105205</v>
      </c>
      <c r="M239" s="123">
        <v>103103</v>
      </c>
      <c r="N239" s="167"/>
      <c r="O239" s="84">
        <v>1288</v>
      </c>
      <c r="P239" s="84">
        <v>1288</v>
      </c>
      <c r="Q239" s="84">
        <v>1288</v>
      </c>
      <c r="R239" s="85">
        <v>1262</v>
      </c>
      <c r="S239" s="167"/>
      <c r="T239" s="84">
        <v>0</v>
      </c>
      <c r="U239" s="84">
        <v>0</v>
      </c>
      <c r="V239" s="85">
        <v>0</v>
      </c>
      <c r="X239" s="84">
        <v>-10698</v>
      </c>
      <c r="Y239" s="84">
        <v>-7704</v>
      </c>
      <c r="AA239" s="85">
        <f>VLOOKUP(A239,'Change in Proportion Calc'!$A$5:$H$319,8,FALSE)+I239+O239+T239+X239</f>
        <v>110000</v>
      </c>
      <c r="AC239" s="84">
        <f t="shared" si="9"/>
        <v>492019</v>
      </c>
      <c r="AD239" s="84">
        <f t="shared" si="10"/>
        <v>7704</v>
      </c>
      <c r="AF239" s="84">
        <f>VLOOKUP(A239,'OPEB Amounts_Report'!$A$10:$G$324,6,FALSE)</f>
        <v>114506</v>
      </c>
      <c r="AG239" s="85">
        <f t="shared" si="11"/>
        <v>377513</v>
      </c>
    </row>
    <row r="240" spans="1:33">
      <c r="A240" s="166">
        <v>32120</v>
      </c>
      <c r="B240" s="167" t="s">
        <v>229</v>
      </c>
      <c r="C240" s="123">
        <f>VLOOKUP($A240,'Change in Proportion Calc'!$A$5:$P$319,12,FALSE)</f>
        <v>28003</v>
      </c>
      <c r="D240" s="123">
        <f>VLOOKUP($A240,'Change in Proportion Calc'!$A$5:$P$319,13,FALSE)</f>
        <v>28003</v>
      </c>
      <c r="E240" s="123">
        <f>VLOOKUP($A240,'Change in Proportion Calc'!$A$5:$P$319,13,FALSE)</f>
        <v>28003</v>
      </c>
      <c r="F240" s="123">
        <f>VLOOKUP($A240,'Change in Proportion Calc'!$A$5:$P$319,13,FALSE)</f>
        <v>28003</v>
      </c>
      <c r="G240" s="123">
        <f>VLOOKUP($A240,'Change in Proportion Calc'!$A$5:$P$319,16,FALSE)</f>
        <v>24925</v>
      </c>
      <c r="H240" s="167"/>
      <c r="I240" s="123">
        <v>21624</v>
      </c>
      <c r="J240" s="123">
        <v>21624</v>
      </c>
      <c r="K240" s="123">
        <v>21624</v>
      </c>
      <c r="L240" s="123">
        <v>21624</v>
      </c>
      <c r="M240" s="123">
        <v>21193</v>
      </c>
      <c r="N240" s="167"/>
      <c r="O240" s="84">
        <v>45940</v>
      </c>
      <c r="P240" s="84">
        <v>45940</v>
      </c>
      <c r="Q240" s="84">
        <v>45940</v>
      </c>
      <c r="R240" s="85">
        <v>45021</v>
      </c>
      <c r="S240" s="167"/>
      <c r="T240" s="84">
        <v>57436</v>
      </c>
      <c r="U240" s="84">
        <v>57436</v>
      </c>
      <c r="V240" s="85">
        <v>36757</v>
      </c>
      <c r="X240" s="84">
        <v>19257</v>
      </c>
      <c r="Y240" s="84">
        <v>13864</v>
      </c>
      <c r="AA240" s="85">
        <f>VLOOKUP(A240,'Change in Proportion Calc'!$A$5:$H$319,8,FALSE)+I240+O240+T240+X240</f>
        <v>172261</v>
      </c>
      <c r="AC240" s="84">
        <f t="shared" si="9"/>
        <v>467960</v>
      </c>
      <c r="AD240" s="84">
        <f t="shared" si="10"/>
        <v>0</v>
      </c>
      <c r="AF240" s="84">
        <f>VLOOKUP(A240,'OPEB Amounts_Report'!$A$10:$G$324,6,FALSE)</f>
        <v>141439</v>
      </c>
      <c r="AG240" s="85">
        <f t="shared" si="11"/>
        <v>326521</v>
      </c>
    </row>
    <row r="241" spans="1:33">
      <c r="A241" s="164">
        <v>3300</v>
      </c>
      <c r="B241" s="168" t="s">
        <v>230</v>
      </c>
      <c r="C241" s="123">
        <f>VLOOKUP($A241,'Change in Proportion Calc'!$A$5:$P$319,12,FALSE)</f>
        <v>14481</v>
      </c>
      <c r="D241" s="123">
        <f>VLOOKUP($A241,'Change in Proportion Calc'!$A$5:$P$319,13,FALSE)</f>
        <v>14481</v>
      </c>
      <c r="E241" s="123">
        <f>VLOOKUP($A241,'Change in Proportion Calc'!$A$5:$P$319,13,FALSE)</f>
        <v>14481</v>
      </c>
      <c r="F241" s="123">
        <f>VLOOKUP($A241,'Change in Proportion Calc'!$A$5:$P$319,13,FALSE)</f>
        <v>14481</v>
      </c>
      <c r="G241" s="123">
        <f>VLOOKUP($A241,'Change in Proportion Calc'!$A$5:$P$319,16,FALSE)</f>
        <v>12886</v>
      </c>
      <c r="H241" s="167"/>
      <c r="I241" s="123">
        <v>-32882</v>
      </c>
      <c r="J241" s="123">
        <v>-32882</v>
      </c>
      <c r="K241" s="123">
        <v>-32882</v>
      </c>
      <c r="L241" s="123">
        <v>-32882</v>
      </c>
      <c r="M241" s="123">
        <v>-32223</v>
      </c>
      <c r="N241" s="167"/>
      <c r="O241" s="84">
        <v>-21811</v>
      </c>
      <c r="P241" s="84">
        <v>-21811</v>
      </c>
      <c r="Q241" s="84">
        <v>-21811</v>
      </c>
      <c r="R241" s="85">
        <v>-21373</v>
      </c>
      <c r="S241" s="167"/>
      <c r="T241" s="84">
        <v>18142</v>
      </c>
      <c r="U241" s="84">
        <v>18142</v>
      </c>
      <c r="V241" s="85">
        <v>11613</v>
      </c>
      <c r="X241" s="84">
        <v>607561</v>
      </c>
      <c r="Y241" s="84">
        <v>437446</v>
      </c>
      <c r="AA241" s="85">
        <f>VLOOKUP(A241,'Change in Proportion Calc'!$A$5:$H$319,8,FALSE)+I241+O241+T241+X241</f>
        <v>585490</v>
      </c>
      <c r="AC241" s="84">
        <f t="shared" si="9"/>
        <v>538011</v>
      </c>
      <c r="AD241" s="84">
        <f t="shared" si="10"/>
        <v>195864</v>
      </c>
      <c r="AF241" s="84">
        <f>VLOOKUP(A241,'OPEB Amounts_Report'!$A$10:$G$324,6,FALSE)</f>
        <v>306805</v>
      </c>
      <c r="AG241" s="85">
        <f t="shared" si="11"/>
        <v>231206</v>
      </c>
    </row>
    <row r="242" spans="1:33">
      <c r="A242" s="166">
        <v>8026</v>
      </c>
      <c r="B242" s="167" t="s">
        <v>231</v>
      </c>
      <c r="C242" s="123">
        <f>VLOOKUP($A242,'Change in Proportion Calc'!$A$5:$P$319,12,FALSE)</f>
        <v>9056</v>
      </c>
      <c r="D242" s="123">
        <f>VLOOKUP($A242,'Change in Proportion Calc'!$A$5:$P$319,13,FALSE)</f>
        <v>9056</v>
      </c>
      <c r="E242" s="123">
        <f>VLOOKUP($A242,'Change in Proportion Calc'!$A$5:$P$319,13,FALSE)</f>
        <v>9056</v>
      </c>
      <c r="F242" s="123">
        <f>VLOOKUP($A242,'Change in Proportion Calc'!$A$5:$P$319,13,FALSE)</f>
        <v>9056</v>
      </c>
      <c r="G242" s="123">
        <f>VLOOKUP($A242,'Change in Proportion Calc'!$A$5:$P$319,16,FALSE)</f>
        <v>8058</v>
      </c>
      <c r="H242" s="167"/>
      <c r="I242" s="123">
        <v>-123590</v>
      </c>
      <c r="J242" s="123">
        <v>-123590</v>
      </c>
      <c r="K242" s="123">
        <v>-123590</v>
      </c>
      <c r="L242" s="123">
        <v>-123590</v>
      </c>
      <c r="M242" s="123">
        <v>-121118</v>
      </c>
      <c r="N242" s="167"/>
      <c r="O242" s="84">
        <v>-123050</v>
      </c>
      <c r="P242" s="84">
        <v>-123050</v>
      </c>
      <c r="Q242" s="84">
        <v>-123050</v>
      </c>
      <c r="R242" s="85">
        <v>-120591</v>
      </c>
      <c r="S242" s="167"/>
      <c r="T242" s="84">
        <v>-18045</v>
      </c>
      <c r="U242" s="84">
        <v>-18045</v>
      </c>
      <c r="V242" s="85">
        <v>-11551</v>
      </c>
      <c r="X242" s="84">
        <v>-46294</v>
      </c>
      <c r="Y242" s="84">
        <v>-33332</v>
      </c>
      <c r="AA242" s="85">
        <f>VLOOKUP(A242,'Change in Proportion Calc'!$A$5:$H$319,8,FALSE)+I242+O242+T242+X242</f>
        <v>-301923</v>
      </c>
      <c r="AC242" s="84">
        <f t="shared" si="9"/>
        <v>44282</v>
      </c>
      <c r="AD242" s="84">
        <f t="shared" si="10"/>
        <v>921507</v>
      </c>
      <c r="AF242" s="84">
        <f>VLOOKUP(A242,'OPEB Amounts_Report'!$A$10:$G$324,6,FALSE)</f>
        <v>1680248</v>
      </c>
      <c r="AG242" s="85">
        <f t="shared" si="11"/>
        <v>-1635966</v>
      </c>
    </row>
    <row r="243" spans="1:33">
      <c r="A243" s="164">
        <v>32119</v>
      </c>
      <c r="B243" s="168" t="s">
        <v>232</v>
      </c>
      <c r="C243" s="123">
        <f>VLOOKUP($A243,'Change in Proportion Calc'!$A$5:$P$319,12,FALSE)</f>
        <v>6854</v>
      </c>
      <c r="D243" s="123">
        <f>VLOOKUP($A243,'Change in Proportion Calc'!$A$5:$P$319,13,FALSE)</f>
        <v>6854</v>
      </c>
      <c r="E243" s="123">
        <f>VLOOKUP($A243,'Change in Proportion Calc'!$A$5:$P$319,13,FALSE)</f>
        <v>6854</v>
      </c>
      <c r="F243" s="123">
        <f>VLOOKUP($A243,'Change in Proportion Calc'!$A$5:$P$319,13,FALSE)</f>
        <v>6854</v>
      </c>
      <c r="G243" s="123">
        <f>VLOOKUP($A243,'Change in Proportion Calc'!$A$5:$P$319,16,FALSE)</f>
        <v>6099</v>
      </c>
      <c r="H243" s="167"/>
      <c r="I243" s="123">
        <v>9233</v>
      </c>
      <c r="J243" s="123">
        <v>9233</v>
      </c>
      <c r="K243" s="123">
        <v>9233</v>
      </c>
      <c r="L243" s="123">
        <v>9233</v>
      </c>
      <c r="M243" s="123">
        <v>9047</v>
      </c>
      <c r="N243" s="167"/>
      <c r="O243" s="84">
        <v>-18719</v>
      </c>
      <c r="P243" s="84">
        <v>-18719</v>
      </c>
      <c r="Q243" s="84">
        <v>-18719</v>
      </c>
      <c r="R243" s="85">
        <v>-18347</v>
      </c>
      <c r="S243" s="167"/>
      <c r="T243" s="84">
        <v>40748</v>
      </c>
      <c r="U243" s="84">
        <v>40748</v>
      </c>
      <c r="V243" s="85">
        <v>26079</v>
      </c>
      <c r="X243" s="84">
        <v>26065</v>
      </c>
      <c r="Y243" s="84">
        <v>18765</v>
      </c>
      <c r="AA243" s="85">
        <f>VLOOKUP(A243,'Change in Proportion Calc'!$A$5:$H$319,8,FALSE)+I243+O243+T243+X243</f>
        <v>64181</v>
      </c>
      <c r="AC243" s="84">
        <f t="shared" si="9"/>
        <v>155853</v>
      </c>
      <c r="AD243" s="84">
        <f t="shared" si="10"/>
        <v>55785</v>
      </c>
      <c r="AF243" s="84">
        <f>VLOOKUP(A243,'OPEB Amounts_Report'!$A$10:$G$324,6,FALSE)</f>
        <v>61256</v>
      </c>
      <c r="AG243" s="85">
        <f t="shared" si="11"/>
        <v>94597</v>
      </c>
    </row>
    <row r="244" spans="1:33">
      <c r="A244" s="166">
        <v>25076</v>
      </c>
      <c r="B244" s="167" t="s">
        <v>233</v>
      </c>
      <c r="C244" s="123">
        <f>VLOOKUP($A244,'Change in Proportion Calc'!$A$5:$P$319,12,FALSE)</f>
        <v>-29178</v>
      </c>
      <c r="D244" s="123">
        <f>VLOOKUP($A244,'Change in Proportion Calc'!$A$5:$P$319,13,FALSE)</f>
        <v>-29178</v>
      </c>
      <c r="E244" s="123">
        <f>VLOOKUP($A244,'Change in Proportion Calc'!$A$5:$P$319,13,FALSE)</f>
        <v>-29178</v>
      </c>
      <c r="F244" s="123">
        <f>VLOOKUP($A244,'Change in Proportion Calc'!$A$5:$P$319,13,FALSE)</f>
        <v>-29178</v>
      </c>
      <c r="G244" s="123">
        <f>VLOOKUP($A244,'Change in Proportion Calc'!$A$5:$P$319,16,FALSE)</f>
        <v>-25969</v>
      </c>
      <c r="H244" s="167"/>
      <c r="I244" s="123">
        <v>-75725</v>
      </c>
      <c r="J244" s="123">
        <v>-75725</v>
      </c>
      <c r="K244" s="123">
        <v>-75725</v>
      </c>
      <c r="L244" s="123">
        <v>-75725</v>
      </c>
      <c r="M244" s="123">
        <v>-74211</v>
      </c>
      <c r="N244" s="167"/>
      <c r="O244" s="84">
        <v>11850</v>
      </c>
      <c r="P244" s="84">
        <v>11850</v>
      </c>
      <c r="Q244" s="84">
        <v>11850</v>
      </c>
      <c r="R244" s="85">
        <v>11613</v>
      </c>
      <c r="S244" s="167"/>
      <c r="T244" s="84">
        <v>89161</v>
      </c>
      <c r="U244" s="84">
        <v>89161</v>
      </c>
      <c r="V244" s="85">
        <v>57062</v>
      </c>
      <c r="X244" s="84">
        <v>-64870</v>
      </c>
      <c r="Y244" s="84">
        <v>-46707</v>
      </c>
      <c r="AA244" s="85">
        <f>VLOOKUP(A244,'Change in Proportion Calc'!$A$5:$H$319,8,FALSE)+I244+O244+T244+X244</f>
        <v>-68762</v>
      </c>
      <c r="AC244" s="84">
        <f t="shared" si="9"/>
        <v>181536</v>
      </c>
      <c r="AD244" s="84">
        <f t="shared" si="10"/>
        <v>490774</v>
      </c>
      <c r="AF244" s="84">
        <f>VLOOKUP(A244,'OPEB Amounts_Report'!$A$10:$G$324,6,FALSE)</f>
        <v>992141</v>
      </c>
      <c r="AG244" s="85">
        <f t="shared" si="11"/>
        <v>-810605</v>
      </c>
    </row>
    <row r="245" spans="1:33">
      <c r="A245" s="164">
        <v>2440</v>
      </c>
      <c r="B245" s="168" t="s">
        <v>413</v>
      </c>
      <c r="C245" s="123">
        <f>VLOOKUP($A245,'Change in Proportion Calc'!$A$5:$P$319,12,FALSE)</f>
        <v>64738</v>
      </c>
      <c r="D245" s="123">
        <f>VLOOKUP($A245,'Change in Proportion Calc'!$A$5:$P$319,13,FALSE)</f>
        <v>64738</v>
      </c>
      <c r="E245" s="123">
        <f>VLOOKUP($A245,'Change in Proportion Calc'!$A$5:$P$319,13,FALSE)</f>
        <v>64738</v>
      </c>
      <c r="F245" s="123">
        <f>VLOOKUP($A245,'Change in Proportion Calc'!$A$5:$P$319,13,FALSE)</f>
        <v>64738</v>
      </c>
      <c r="G245" s="123">
        <f>VLOOKUP($A245,'Change in Proportion Calc'!$A$5:$P$319,16,FALSE)</f>
        <v>57619</v>
      </c>
      <c r="H245" s="167"/>
      <c r="I245" s="123">
        <v>55721</v>
      </c>
      <c r="J245" s="123">
        <v>55721</v>
      </c>
      <c r="K245" s="123">
        <v>55721</v>
      </c>
      <c r="L245" s="123">
        <v>55721</v>
      </c>
      <c r="M245" s="123">
        <v>54605</v>
      </c>
      <c r="N245" s="167"/>
      <c r="O245" s="84">
        <v>108195</v>
      </c>
      <c r="P245" s="84">
        <v>108195</v>
      </c>
      <c r="Q245" s="84">
        <v>108195</v>
      </c>
      <c r="R245" s="85">
        <v>106031</v>
      </c>
      <c r="S245" s="167"/>
      <c r="T245" s="84">
        <v>5433</v>
      </c>
      <c r="U245" s="84">
        <v>5433</v>
      </c>
      <c r="V245" s="85">
        <v>3478</v>
      </c>
      <c r="X245" s="84">
        <v>0</v>
      </c>
      <c r="Y245" s="84">
        <v>0</v>
      </c>
      <c r="AA245" s="85">
        <f>VLOOKUP(A245,'Change in Proportion Calc'!$A$5:$H$319,8,FALSE)+I245+O245+T245+X245</f>
        <v>234087</v>
      </c>
      <c r="AC245" s="84">
        <f t="shared" si="9"/>
        <v>869671</v>
      </c>
      <c r="AD245" s="84">
        <f t="shared" si="10"/>
        <v>0</v>
      </c>
      <c r="AF245" s="84">
        <f>VLOOKUP(A245,'OPEB Amounts_Report'!$A$10:$G$324,6,FALSE)</f>
        <v>141667</v>
      </c>
      <c r="AG245" s="85">
        <f t="shared" si="11"/>
        <v>728004</v>
      </c>
    </row>
    <row r="246" spans="1:33">
      <c r="A246" s="166">
        <v>2309</v>
      </c>
      <c r="B246" s="167" t="s">
        <v>234</v>
      </c>
      <c r="C246" s="123">
        <f>VLOOKUP($A246,'Change in Proportion Calc'!$A$5:$P$319,12,FALSE)</f>
        <v>-17636</v>
      </c>
      <c r="D246" s="123">
        <f>VLOOKUP($A246,'Change in Proportion Calc'!$A$5:$P$319,13,FALSE)</f>
        <v>-17636</v>
      </c>
      <c r="E246" s="123">
        <f>VLOOKUP($A246,'Change in Proportion Calc'!$A$5:$P$319,13,FALSE)</f>
        <v>-17636</v>
      </c>
      <c r="F246" s="123">
        <f>VLOOKUP($A246,'Change in Proportion Calc'!$A$5:$P$319,13,FALSE)</f>
        <v>-17636</v>
      </c>
      <c r="G246" s="123">
        <f>VLOOKUP($A246,'Change in Proportion Calc'!$A$5:$P$319,16,FALSE)</f>
        <v>-15698</v>
      </c>
      <c r="H246" s="167"/>
      <c r="I246" s="123">
        <v>36202</v>
      </c>
      <c r="J246" s="123">
        <v>36202</v>
      </c>
      <c r="K246" s="123">
        <v>36202</v>
      </c>
      <c r="L246" s="123">
        <v>36202</v>
      </c>
      <c r="M246" s="123">
        <v>35480</v>
      </c>
      <c r="N246" s="167"/>
      <c r="O246" s="84">
        <v>36580</v>
      </c>
      <c r="P246" s="84">
        <v>36580</v>
      </c>
      <c r="Q246" s="84">
        <v>36580</v>
      </c>
      <c r="R246" s="85">
        <v>35850</v>
      </c>
      <c r="S246" s="167"/>
      <c r="T246" s="84">
        <v>-10866</v>
      </c>
      <c r="U246" s="84">
        <v>-10866</v>
      </c>
      <c r="V246" s="85">
        <v>-6955</v>
      </c>
      <c r="X246" s="84">
        <v>52713</v>
      </c>
      <c r="Y246" s="84">
        <v>37953</v>
      </c>
      <c r="AA246" s="85">
        <f>VLOOKUP(A246,'Change in Proportion Calc'!$A$5:$H$319,8,FALSE)+I246+O246+T246+X246</f>
        <v>96993</v>
      </c>
      <c r="AC246" s="84">
        <f t="shared" si="9"/>
        <v>291049</v>
      </c>
      <c r="AD246" s="84">
        <f t="shared" si="10"/>
        <v>104063</v>
      </c>
      <c r="AF246" s="84">
        <f>VLOOKUP(A246,'OPEB Amounts_Report'!$A$10:$G$324,6,FALSE)</f>
        <v>419427</v>
      </c>
      <c r="AG246" s="85">
        <f t="shared" si="11"/>
        <v>-128378</v>
      </c>
    </row>
    <row r="247" spans="1:33">
      <c r="A247" s="164">
        <v>2396</v>
      </c>
      <c r="B247" s="168" t="s">
        <v>235</v>
      </c>
      <c r="C247" s="123">
        <f>VLOOKUP($A247,'Change in Proportion Calc'!$A$5:$P$319,12,FALSE)</f>
        <v>17830</v>
      </c>
      <c r="D247" s="123">
        <f>VLOOKUP($A247,'Change in Proportion Calc'!$A$5:$P$319,13,FALSE)</f>
        <v>17830</v>
      </c>
      <c r="E247" s="123">
        <f>VLOOKUP($A247,'Change in Proportion Calc'!$A$5:$P$319,13,FALSE)</f>
        <v>17830</v>
      </c>
      <c r="F247" s="123">
        <f>VLOOKUP($A247,'Change in Proportion Calc'!$A$5:$P$319,13,FALSE)</f>
        <v>17830</v>
      </c>
      <c r="G247" s="123">
        <f>VLOOKUP($A247,'Change in Proportion Calc'!$A$5:$P$319,16,FALSE)</f>
        <v>15871</v>
      </c>
      <c r="H247" s="167"/>
      <c r="I247" s="123">
        <v>14335</v>
      </c>
      <c r="J247" s="123">
        <v>14335</v>
      </c>
      <c r="K247" s="123">
        <v>14335</v>
      </c>
      <c r="L247" s="123">
        <v>14335</v>
      </c>
      <c r="M247" s="123">
        <v>14049</v>
      </c>
      <c r="N247" s="167"/>
      <c r="O247" s="84">
        <v>21038</v>
      </c>
      <c r="P247" s="84">
        <v>21038</v>
      </c>
      <c r="Q247" s="84">
        <v>21038</v>
      </c>
      <c r="R247" s="85">
        <v>20617</v>
      </c>
      <c r="S247" s="167"/>
      <c r="T247" s="84">
        <v>19113</v>
      </c>
      <c r="U247" s="84">
        <v>19113</v>
      </c>
      <c r="V247" s="85">
        <v>12231</v>
      </c>
      <c r="X247" s="84">
        <v>-8850</v>
      </c>
      <c r="Y247" s="84">
        <v>-6374</v>
      </c>
      <c r="AA247" s="85">
        <f>VLOOKUP(A247,'Change in Proportion Calc'!$A$5:$H$319,8,FALSE)+I247+O247+T247+X247</f>
        <v>63466</v>
      </c>
      <c r="AC247" s="84">
        <f t="shared" si="9"/>
        <v>238282</v>
      </c>
      <c r="AD247" s="84">
        <f t="shared" si="10"/>
        <v>6374</v>
      </c>
      <c r="AF247" s="84">
        <f>VLOOKUP(A247,'OPEB Amounts_Report'!$A$10:$G$324,6,FALSE)</f>
        <v>126275</v>
      </c>
      <c r="AG247" s="85">
        <f t="shared" si="11"/>
        <v>112007</v>
      </c>
    </row>
    <row r="248" spans="1:33">
      <c r="A248" s="166">
        <v>3380</v>
      </c>
      <c r="B248" s="167" t="s">
        <v>236</v>
      </c>
      <c r="C248" s="123">
        <f>VLOOKUP($A248,'Change in Proportion Calc'!$A$5:$P$319,12,FALSE)</f>
        <v>-4750</v>
      </c>
      <c r="D248" s="123">
        <f>VLOOKUP($A248,'Change in Proportion Calc'!$A$5:$P$319,13,FALSE)</f>
        <v>-4750</v>
      </c>
      <c r="E248" s="123">
        <f>VLOOKUP($A248,'Change in Proportion Calc'!$A$5:$P$319,13,FALSE)</f>
        <v>-4750</v>
      </c>
      <c r="F248" s="123">
        <f>VLOOKUP($A248,'Change in Proportion Calc'!$A$5:$P$319,13,FALSE)</f>
        <v>-4750</v>
      </c>
      <c r="G248" s="123">
        <f>VLOOKUP($A248,'Change in Proportion Calc'!$A$5:$P$319,16,FALSE)</f>
        <v>-4228</v>
      </c>
      <c r="H248" s="167"/>
      <c r="I248" s="123">
        <v>9395</v>
      </c>
      <c r="J248" s="123">
        <v>9395</v>
      </c>
      <c r="K248" s="123">
        <v>9395</v>
      </c>
      <c r="L248" s="123">
        <v>9395</v>
      </c>
      <c r="M248" s="123">
        <v>9206</v>
      </c>
      <c r="N248" s="167"/>
      <c r="O248" s="84">
        <v>6183</v>
      </c>
      <c r="P248" s="84">
        <v>6183</v>
      </c>
      <c r="Q248" s="84">
        <v>6183</v>
      </c>
      <c r="R248" s="85">
        <v>6057</v>
      </c>
      <c r="S248" s="167"/>
      <c r="T248" s="84">
        <v>-13583</v>
      </c>
      <c r="U248" s="84">
        <v>-13583</v>
      </c>
      <c r="V248" s="85">
        <v>-8691</v>
      </c>
      <c r="X248" s="84">
        <v>-7197</v>
      </c>
      <c r="Y248" s="84">
        <v>-5182</v>
      </c>
      <c r="AA248" s="85">
        <f>VLOOKUP(A248,'Change in Proportion Calc'!$A$5:$H$319,8,FALSE)+I248+O248+T248+X248</f>
        <v>-9952</v>
      </c>
      <c r="AC248" s="84">
        <f t="shared" si="9"/>
        <v>55814</v>
      </c>
      <c r="AD248" s="84">
        <f t="shared" si="10"/>
        <v>50684</v>
      </c>
      <c r="AF248" s="84">
        <f>VLOOKUP(A248,'OPEB Amounts_Report'!$A$10:$G$324,6,FALSE)</f>
        <v>89291</v>
      </c>
      <c r="AG248" s="85">
        <f t="shared" si="11"/>
        <v>-33477</v>
      </c>
    </row>
    <row r="249" spans="1:33">
      <c r="A249" s="164">
        <v>2420</v>
      </c>
      <c r="B249" s="168" t="s">
        <v>237</v>
      </c>
      <c r="C249" s="123">
        <f>VLOOKUP($A249,'Change in Proportion Calc'!$A$5:$P$319,12,FALSE)</f>
        <v>-16358</v>
      </c>
      <c r="D249" s="123">
        <f>VLOOKUP($A249,'Change in Proportion Calc'!$A$5:$P$319,13,FALSE)</f>
        <v>-16358</v>
      </c>
      <c r="E249" s="123">
        <f>VLOOKUP($A249,'Change in Proportion Calc'!$A$5:$P$319,13,FALSE)</f>
        <v>-16358</v>
      </c>
      <c r="F249" s="123">
        <f>VLOOKUP($A249,'Change in Proportion Calc'!$A$5:$P$319,13,FALSE)</f>
        <v>-16358</v>
      </c>
      <c r="G249" s="123">
        <f>VLOOKUP($A249,'Change in Proportion Calc'!$A$5:$P$319,16,FALSE)</f>
        <v>-14559</v>
      </c>
      <c r="H249" s="167"/>
      <c r="I249" s="123">
        <v>-5669</v>
      </c>
      <c r="J249" s="123">
        <v>-5669</v>
      </c>
      <c r="K249" s="123">
        <v>-5669</v>
      </c>
      <c r="L249" s="123">
        <v>-5669</v>
      </c>
      <c r="M249" s="123">
        <v>-5557</v>
      </c>
      <c r="N249" s="167"/>
      <c r="O249" s="84">
        <v>-28423</v>
      </c>
      <c r="P249" s="84">
        <v>-28423</v>
      </c>
      <c r="Q249" s="84">
        <v>-28423</v>
      </c>
      <c r="R249" s="85">
        <v>-27853</v>
      </c>
      <c r="S249" s="167"/>
      <c r="T249" s="84">
        <v>34927</v>
      </c>
      <c r="U249" s="84">
        <v>34927</v>
      </c>
      <c r="V249" s="85">
        <v>22353</v>
      </c>
      <c r="X249" s="84">
        <v>18284</v>
      </c>
      <c r="Y249" s="84">
        <v>13166</v>
      </c>
      <c r="AA249" s="85">
        <f>VLOOKUP(A249,'Change in Proportion Calc'!$A$5:$H$319,8,FALSE)+I249+O249+T249+X249</f>
        <v>2761</v>
      </c>
      <c r="AC249" s="84">
        <f t="shared" si="9"/>
        <v>70446</v>
      </c>
      <c r="AD249" s="84">
        <f t="shared" si="10"/>
        <v>187254</v>
      </c>
      <c r="AF249" s="84">
        <f>VLOOKUP(A249,'OPEB Amounts_Report'!$A$10:$G$324,6,FALSE)</f>
        <v>116880</v>
      </c>
      <c r="AG249" s="85">
        <f t="shared" si="11"/>
        <v>-46434</v>
      </c>
    </row>
    <row r="250" spans="1:33">
      <c r="A250" s="166">
        <v>2740</v>
      </c>
      <c r="B250" s="167" t="s">
        <v>238</v>
      </c>
      <c r="C250" s="123">
        <f>VLOOKUP($A250,'Change in Proportion Calc'!$A$5:$P$319,12,FALSE)</f>
        <v>6429</v>
      </c>
      <c r="D250" s="123">
        <f>VLOOKUP($A250,'Change in Proportion Calc'!$A$5:$P$319,13,FALSE)</f>
        <v>6429</v>
      </c>
      <c r="E250" s="123">
        <f>VLOOKUP($A250,'Change in Proportion Calc'!$A$5:$P$319,13,FALSE)</f>
        <v>6429</v>
      </c>
      <c r="F250" s="123">
        <f>VLOOKUP($A250,'Change in Proportion Calc'!$A$5:$P$319,13,FALSE)</f>
        <v>6429</v>
      </c>
      <c r="G250" s="123">
        <f>VLOOKUP($A250,'Change in Proportion Calc'!$A$5:$P$319,16,FALSE)</f>
        <v>5722</v>
      </c>
      <c r="H250" s="167"/>
      <c r="I250" s="123">
        <v>6884</v>
      </c>
      <c r="J250" s="123">
        <v>6884</v>
      </c>
      <c r="K250" s="123">
        <v>6884</v>
      </c>
      <c r="L250" s="123">
        <v>6884</v>
      </c>
      <c r="M250" s="123">
        <v>6747</v>
      </c>
      <c r="N250" s="167"/>
      <c r="O250" s="84">
        <v>-5238</v>
      </c>
      <c r="P250" s="84">
        <v>-5238</v>
      </c>
      <c r="Q250" s="84">
        <v>-5238</v>
      </c>
      <c r="R250" s="85">
        <v>-5133</v>
      </c>
      <c r="S250" s="167"/>
      <c r="T250" s="84">
        <v>-3590</v>
      </c>
      <c r="U250" s="84">
        <v>-3590</v>
      </c>
      <c r="V250" s="85">
        <v>-2296</v>
      </c>
      <c r="X250" s="84">
        <v>1167</v>
      </c>
      <c r="Y250" s="84">
        <v>841</v>
      </c>
      <c r="AA250" s="85">
        <f>VLOOKUP(A250,'Change in Proportion Calc'!$A$5:$H$319,8,FALSE)+I250+O250+T250+X250</f>
        <v>5652</v>
      </c>
      <c r="AC250" s="84">
        <f t="shared" si="9"/>
        <v>59678</v>
      </c>
      <c r="AD250" s="84">
        <f t="shared" si="10"/>
        <v>21495</v>
      </c>
      <c r="AF250" s="84">
        <f>VLOOKUP(A250,'OPEB Amounts_Report'!$A$10:$G$324,6,FALSE)</f>
        <v>25462</v>
      </c>
      <c r="AG250" s="85">
        <f t="shared" si="11"/>
        <v>34216</v>
      </c>
    </row>
    <row r="251" spans="1:33">
      <c r="A251" s="164">
        <v>2346</v>
      </c>
      <c r="B251" s="168" t="s">
        <v>239</v>
      </c>
      <c r="C251" s="123">
        <f>VLOOKUP($A251,'Change in Proportion Calc'!$A$5:$P$319,12,FALSE)</f>
        <v>20278</v>
      </c>
      <c r="D251" s="123">
        <f>VLOOKUP($A251,'Change in Proportion Calc'!$A$5:$P$319,13,FALSE)</f>
        <v>20278</v>
      </c>
      <c r="E251" s="123">
        <f>VLOOKUP($A251,'Change in Proportion Calc'!$A$5:$P$319,13,FALSE)</f>
        <v>20278</v>
      </c>
      <c r="F251" s="123">
        <f>VLOOKUP($A251,'Change in Proportion Calc'!$A$5:$P$319,13,FALSE)</f>
        <v>20278</v>
      </c>
      <c r="G251" s="123">
        <f>VLOOKUP($A251,'Change in Proportion Calc'!$A$5:$P$319,16,FALSE)</f>
        <v>18049</v>
      </c>
      <c r="H251" s="167"/>
      <c r="I251" s="123">
        <v>-2915</v>
      </c>
      <c r="J251" s="123">
        <v>-2915</v>
      </c>
      <c r="K251" s="123">
        <v>-2915</v>
      </c>
      <c r="L251" s="123">
        <v>-2915</v>
      </c>
      <c r="M251" s="123">
        <v>-2859</v>
      </c>
      <c r="N251" s="167"/>
      <c r="O251" s="84">
        <v>1803</v>
      </c>
      <c r="P251" s="84">
        <v>1803</v>
      </c>
      <c r="Q251" s="84">
        <v>1803</v>
      </c>
      <c r="R251" s="85">
        <v>1768</v>
      </c>
      <c r="S251" s="167"/>
      <c r="T251" s="84">
        <v>22800</v>
      </c>
      <c r="U251" s="84">
        <v>22800</v>
      </c>
      <c r="V251" s="85">
        <v>14590</v>
      </c>
      <c r="X251" s="84">
        <v>61758</v>
      </c>
      <c r="Y251" s="84">
        <v>44465</v>
      </c>
      <c r="AA251" s="85">
        <f>VLOOKUP(A251,'Change in Proportion Calc'!$A$5:$H$319,8,FALSE)+I251+O251+T251+X251</f>
        <v>103724</v>
      </c>
      <c r="AC251" s="84">
        <f t="shared" si="9"/>
        <v>186390</v>
      </c>
      <c r="AD251" s="84">
        <f t="shared" si="10"/>
        <v>11604</v>
      </c>
      <c r="AF251" s="84">
        <f>VLOOKUP(A251,'OPEB Amounts_Report'!$A$10:$G$324,6,FALSE)</f>
        <v>104416</v>
      </c>
      <c r="AG251" s="85">
        <f t="shared" si="11"/>
        <v>81974</v>
      </c>
    </row>
    <row r="252" spans="1:33">
      <c r="A252" s="166">
        <v>21150</v>
      </c>
      <c r="B252" s="167" t="s">
        <v>240</v>
      </c>
      <c r="C252" s="123">
        <f>VLOOKUP($A252,'Change in Proportion Calc'!$A$5:$P$319,12,FALSE)</f>
        <v>23764</v>
      </c>
      <c r="D252" s="123">
        <f>VLOOKUP($A252,'Change in Proportion Calc'!$A$5:$P$319,13,FALSE)</f>
        <v>23764</v>
      </c>
      <c r="E252" s="123">
        <f>VLOOKUP($A252,'Change in Proportion Calc'!$A$5:$P$319,13,FALSE)</f>
        <v>23764</v>
      </c>
      <c r="F252" s="123">
        <f>VLOOKUP($A252,'Change in Proportion Calc'!$A$5:$P$319,13,FALSE)</f>
        <v>23764</v>
      </c>
      <c r="G252" s="123">
        <f>VLOOKUP($A252,'Change in Proportion Calc'!$A$5:$P$319,16,FALSE)</f>
        <v>21150</v>
      </c>
      <c r="H252" s="167"/>
      <c r="I252" s="123">
        <v>26727</v>
      </c>
      <c r="J252" s="123">
        <v>26727</v>
      </c>
      <c r="K252" s="123">
        <v>26727</v>
      </c>
      <c r="L252" s="123">
        <v>26727</v>
      </c>
      <c r="M252" s="123">
        <v>26190</v>
      </c>
      <c r="N252" s="167"/>
      <c r="O252" s="84">
        <v>-16143</v>
      </c>
      <c r="P252" s="84">
        <v>-16143</v>
      </c>
      <c r="Q252" s="84">
        <v>-16143</v>
      </c>
      <c r="R252" s="85">
        <v>-15822</v>
      </c>
      <c r="S252" s="167"/>
      <c r="T252" s="84">
        <v>48801</v>
      </c>
      <c r="U252" s="84">
        <v>48801</v>
      </c>
      <c r="V252" s="85">
        <v>31231</v>
      </c>
      <c r="X252" s="84">
        <v>68468</v>
      </c>
      <c r="Y252" s="84">
        <v>49299</v>
      </c>
      <c r="AA252" s="85">
        <f>VLOOKUP(A252,'Change in Proportion Calc'!$A$5:$H$319,8,FALSE)+I252+O252+T252+X252</f>
        <v>151617</v>
      </c>
      <c r="AC252" s="84">
        <f t="shared" si="9"/>
        <v>351908</v>
      </c>
      <c r="AD252" s="84">
        <f t="shared" si="10"/>
        <v>48108</v>
      </c>
      <c r="AF252" s="84">
        <f>VLOOKUP(A252,'OPEB Amounts_Report'!$A$10:$G$324,6,FALSE)</f>
        <v>242413</v>
      </c>
      <c r="AG252" s="85">
        <f t="shared" si="11"/>
        <v>109495</v>
      </c>
    </row>
    <row r="253" spans="1:33">
      <c r="A253" s="164">
        <v>32098</v>
      </c>
      <c r="B253" s="168" t="s">
        <v>241</v>
      </c>
      <c r="C253" s="123">
        <f>VLOOKUP($A253,'Change in Proportion Calc'!$A$5:$P$319,12,FALSE)</f>
        <v>-11275</v>
      </c>
      <c r="D253" s="123">
        <f>VLOOKUP($A253,'Change in Proportion Calc'!$A$5:$P$319,13,FALSE)</f>
        <v>-11275</v>
      </c>
      <c r="E253" s="123">
        <f>VLOOKUP($A253,'Change in Proportion Calc'!$A$5:$P$319,13,FALSE)</f>
        <v>-11275</v>
      </c>
      <c r="F253" s="123">
        <f>VLOOKUP($A253,'Change in Proportion Calc'!$A$5:$P$319,13,FALSE)</f>
        <v>-11275</v>
      </c>
      <c r="G253" s="123">
        <f>VLOOKUP($A253,'Change in Proportion Calc'!$A$5:$P$319,16,FALSE)</f>
        <v>-10037</v>
      </c>
      <c r="H253" s="167"/>
      <c r="I253" s="123">
        <v>567</v>
      </c>
      <c r="J253" s="123">
        <v>567</v>
      </c>
      <c r="K253" s="123">
        <v>567</v>
      </c>
      <c r="L253" s="123">
        <v>567</v>
      </c>
      <c r="M253" s="123">
        <v>555</v>
      </c>
      <c r="N253" s="167"/>
      <c r="O253" s="84">
        <v>-27392</v>
      </c>
      <c r="P253" s="84">
        <v>-27392</v>
      </c>
      <c r="Q253" s="84">
        <v>-27392</v>
      </c>
      <c r="R253" s="85">
        <v>-26846</v>
      </c>
      <c r="S253" s="167"/>
      <c r="T253" s="84">
        <v>-9702</v>
      </c>
      <c r="U253" s="84">
        <v>-9702</v>
      </c>
      <c r="V253" s="85">
        <v>-6209</v>
      </c>
      <c r="X253" s="84">
        <v>34040</v>
      </c>
      <c r="Y253" s="84">
        <v>24507</v>
      </c>
      <c r="AA253" s="85">
        <f>VLOOKUP(A253,'Change in Proportion Calc'!$A$5:$H$319,8,FALSE)+I253+O253+T253+X253</f>
        <v>-13762</v>
      </c>
      <c r="AC253" s="84">
        <f t="shared" si="9"/>
        <v>26763</v>
      </c>
      <c r="AD253" s="84">
        <f t="shared" si="10"/>
        <v>152678</v>
      </c>
      <c r="AF253" s="84">
        <f>VLOOKUP(A253,'OPEB Amounts_Report'!$A$10:$G$324,6,FALSE)</f>
        <v>104557</v>
      </c>
      <c r="AG253" s="85">
        <f t="shared" si="11"/>
        <v>-77794</v>
      </c>
    </row>
    <row r="254" spans="1:33">
      <c r="A254" s="166">
        <v>4520</v>
      </c>
      <c r="B254" s="167" t="s">
        <v>242</v>
      </c>
      <c r="C254" s="123">
        <f>VLOOKUP($A254,'Change in Proportion Calc'!$A$5:$P$319,12,FALSE)</f>
        <v>539</v>
      </c>
      <c r="D254" s="123">
        <f>VLOOKUP($A254,'Change in Proportion Calc'!$A$5:$P$319,13,FALSE)</f>
        <v>539</v>
      </c>
      <c r="E254" s="123">
        <f>VLOOKUP($A254,'Change in Proportion Calc'!$A$5:$P$319,13,FALSE)</f>
        <v>539</v>
      </c>
      <c r="F254" s="123">
        <f>VLOOKUP($A254,'Change in Proportion Calc'!$A$5:$P$319,13,FALSE)</f>
        <v>539</v>
      </c>
      <c r="G254" s="123">
        <f>VLOOKUP($A254,'Change in Proportion Calc'!$A$5:$P$319,16,FALSE)</f>
        <v>482</v>
      </c>
      <c r="H254" s="167"/>
      <c r="I254" s="123">
        <v>1701</v>
      </c>
      <c r="J254" s="123">
        <v>1701</v>
      </c>
      <c r="K254" s="123">
        <v>1701</v>
      </c>
      <c r="L254" s="123">
        <v>1701</v>
      </c>
      <c r="M254" s="123">
        <v>1666</v>
      </c>
      <c r="N254" s="167"/>
      <c r="O254" s="84">
        <v>-429</v>
      </c>
      <c r="P254" s="84">
        <v>-429</v>
      </c>
      <c r="Q254" s="84">
        <v>-429</v>
      </c>
      <c r="R254" s="85">
        <v>-422</v>
      </c>
      <c r="S254" s="167"/>
      <c r="T254" s="84">
        <v>1164</v>
      </c>
      <c r="U254" s="84">
        <v>1164</v>
      </c>
      <c r="V254" s="85">
        <v>746</v>
      </c>
      <c r="X254" s="84">
        <v>194</v>
      </c>
      <c r="Y254" s="84">
        <v>142</v>
      </c>
      <c r="AA254" s="85">
        <f>VLOOKUP(A254,'Change in Proportion Calc'!$A$5:$H$319,8,FALSE)+I254+O254+T254+X254</f>
        <v>3169</v>
      </c>
      <c r="AC254" s="84">
        <f t="shared" si="9"/>
        <v>11459</v>
      </c>
      <c r="AD254" s="84">
        <f t="shared" si="10"/>
        <v>1280</v>
      </c>
      <c r="AF254" s="84">
        <f>VLOOKUP(A254,'OPEB Amounts_Report'!$A$10:$G$324,6,FALSE)</f>
        <v>15450</v>
      </c>
      <c r="AG254" s="85">
        <f t="shared" si="11"/>
        <v>-3991</v>
      </c>
    </row>
    <row r="255" spans="1:33">
      <c r="A255" s="164">
        <v>9030</v>
      </c>
      <c r="B255" s="168" t="s">
        <v>243</v>
      </c>
      <c r="C255" s="123">
        <f>VLOOKUP($A255,'Change in Proportion Calc'!$A$5:$P$319,12,FALSE)</f>
        <v>58</v>
      </c>
      <c r="D255" s="123">
        <f>VLOOKUP($A255,'Change in Proportion Calc'!$A$5:$P$319,13,FALSE)</f>
        <v>58</v>
      </c>
      <c r="E255" s="123">
        <f>VLOOKUP($A255,'Change in Proportion Calc'!$A$5:$P$319,13,FALSE)</f>
        <v>58</v>
      </c>
      <c r="F255" s="123">
        <f>VLOOKUP($A255,'Change in Proportion Calc'!$A$5:$P$319,13,FALSE)</f>
        <v>58</v>
      </c>
      <c r="G255" s="123">
        <f>VLOOKUP($A255,'Change in Proportion Calc'!$A$5:$P$319,16,FALSE)</f>
        <v>50</v>
      </c>
      <c r="H255" s="167"/>
      <c r="I255" s="123">
        <v>729</v>
      </c>
      <c r="J255" s="123">
        <v>729</v>
      </c>
      <c r="K255" s="123">
        <v>729</v>
      </c>
      <c r="L255" s="123">
        <v>729</v>
      </c>
      <c r="M255" s="123">
        <v>714</v>
      </c>
      <c r="N255" s="167"/>
      <c r="O255" s="84">
        <v>172</v>
      </c>
      <c r="P255" s="84">
        <v>172</v>
      </c>
      <c r="Q255" s="84">
        <v>172</v>
      </c>
      <c r="R255" s="85">
        <v>167</v>
      </c>
      <c r="S255" s="167"/>
      <c r="T255" s="84">
        <v>-21247</v>
      </c>
      <c r="U255" s="84">
        <v>-21247</v>
      </c>
      <c r="V255" s="85">
        <v>-13599</v>
      </c>
      <c r="X255" s="84">
        <v>6808</v>
      </c>
      <c r="Y255" s="84">
        <v>4901</v>
      </c>
      <c r="AA255" s="85">
        <f>VLOOKUP(A255,'Change in Proportion Calc'!$A$5:$H$319,8,FALSE)+I255+O255+T255+X255</f>
        <v>-13480</v>
      </c>
      <c r="AC255" s="84">
        <f t="shared" si="9"/>
        <v>8595</v>
      </c>
      <c r="AD255" s="84">
        <f t="shared" si="10"/>
        <v>34846</v>
      </c>
      <c r="AF255" s="84">
        <f>VLOOKUP(A255,'OPEB Amounts_Report'!$A$10:$G$324,6,FALSE)</f>
        <v>144755</v>
      </c>
      <c r="AG255" s="85">
        <f t="shared" si="11"/>
        <v>-136160</v>
      </c>
    </row>
    <row r="256" spans="1:33">
      <c r="A256" s="166">
        <v>20265</v>
      </c>
      <c r="B256" s="167" t="s">
        <v>244</v>
      </c>
      <c r="C256" s="123">
        <f>VLOOKUP($A256,'Change in Proportion Calc'!$A$5:$P$319,12,FALSE)</f>
        <v>47042</v>
      </c>
      <c r="D256" s="123">
        <f>VLOOKUP($A256,'Change in Proportion Calc'!$A$5:$P$319,13,FALSE)</f>
        <v>47042</v>
      </c>
      <c r="E256" s="123">
        <f>VLOOKUP($A256,'Change in Proportion Calc'!$A$5:$P$319,13,FALSE)</f>
        <v>47042</v>
      </c>
      <c r="F256" s="123">
        <f>VLOOKUP($A256,'Change in Proportion Calc'!$A$5:$P$319,13,FALSE)</f>
        <v>47042</v>
      </c>
      <c r="G256" s="123">
        <f>VLOOKUP($A256,'Change in Proportion Calc'!$A$5:$P$319,16,FALSE)</f>
        <v>41865</v>
      </c>
      <c r="H256" s="167"/>
      <c r="I256" s="123">
        <v>-26241</v>
      </c>
      <c r="J256" s="123">
        <v>-26241</v>
      </c>
      <c r="K256" s="123">
        <v>-26241</v>
      </c>
      <c r="L256" s="123">
        <v>-26241</v>
      </c>
      <c r="M256" s="123">
        <v>-25714</v>
      </c>
      <c r="N256" s="167"/>
      <c r="O256" s="84">
        <v>17346</v>
      </c>
      <c r="P256" s="84">
        <v>17346</v>
      </c>
      <c r="Q256" s="84">
        <v>17346</v>
      </c>
      <c r="R256" s="85">
        <v>16997</v>
      </c>
      <c r="S256" s="167"/>
      <c r="T256" s="84">
        <v>-2425</v>
      </c>
      <c r="U256" s="84">
        <v>-2425</v>
      </c>
      <c r="V256" s="85">
        <v>-1554</v>
      </c>
      <c r="X256" s="84">
        <v>6808</v>
      </c>
      <c r="Y256" s="84">
        <v>4901</v>
      </c>
      <c r="AA256" s="85">
        <f>VLOOKUP(A256,'Change in Proportion Calc'!$A$5:$H$319,8,FALSE)+I256+O256+T256+X256</f>
        <v>42529</v>
      </c>
      <c r="AC256" s="84">
        <f t="shared" si="9"/>
        <v>286623</v>
      </c>
      <c r="AD256" s="84">
        <f t="shared" si="10"/>
        <v>108416</v>
      </c>
      <c r="AF256" s="84">
        <f>VLOOKUP(A256,'OPEB Amounts_Report'!$A$10:$G$324,6,FALSE)</f>
        <v>167250</v>
      </c>
      <c r="AG256" s="85">
        <f t="shared" si="11"/>
        <v>119373</v>
      </c>
    </row>
    <row r="257" spans="1:33">
      <c r="A257" s="164">
        <v>20307</v>
      </c>
      <c r="B257" s="168" t="s">
        <v>245</v>
      </c>
      <c r="C257" s="123">
        <f>VLOOKUP($A257,'Change in Proportion Calc'!$A$5:$P$319,12,FALSE)</f>
        <v>28246</v>
      </c>
      <c r="D257" s="123">
        <f>VLOOKUP($A257,'Change in Proportion Calc'!$A$5:$P$319,13,FALSE)</f>
        <v>28246</v>
      </c>
      <c r="E257" s="123">
        <f>VLOOKUP($A257,'Change in Proportion Calc'!$A$5:$P$319,13,FALSE)</f>
        <v>28246</v>
      </c>
      <c r="F257" s="123">
        <f>VLOOKUP($A257,'Change in Proportion Calc'!$A$5:$P$319,13,FALSE)</f>
        <v>28246</v>
      </c>
      <c r="G257" s="123">
        <f>VLOOKUP($A257,'Change in Proportion Calc'!$A$5:$P$319,16,FALSE)</f>
        <v>25139</v>
      </c>
      <c r="H257" s="167"/>
      <c r="I257" s="123">
        <v>30776</v>
      </c>
      <c r="J257" s="123">
        <v>30776</v>
      </c>
      <c r="K257" s="123">
        <v>30776</v>
      </c>
      <c r="L257" s="123">
        <v>30776</v>
      </c>
      <c r="M257" s="123">
        <v>30160</v>
      </c>
      <c r="N257" s="167"/>
      <c r="O257" s="84">
        <v>3349</v>
      </c>
      <c r="P257" s="84">
        <v>3349</v>
      </c>
      <c r="Q257" s="84">
        <v>3349</v>
      </c>
      <c r="R257" s="85">
        <v>3281</v>
      </c>
      <c r="S257" s="167"/>
      <c r="T257" s="84">
        <v>-39487</v>
      </c>
      <c r="U257" s="84">
        <v>-39487</v>
      </c>
      <c r="V257" s="85">
        <v>-25271</v>
      </c>
      <c r="X257" s="84">
        <v>71678</v>
      </c>
      <c r="Y257" s="84">
        <v>51608</v>
      </c>
      <c r="AA257" s="85">
        <f>VLOOKUP(A257,'Change in Proportion Calc'!$A$5:$H$319,8,FALSE)+I257+O257+T257+X257</f>
        <v>94562</v>
      </c>
      <c r="AC257" s="84">
        <f t="shared" si="9"/>
        <v>322198</v>
      </c>
      <c r="AD257" s="84">
        <f t="shared" si="10"/>
        <v>64758</v>
      </c>
      <c r="AF257" s="84">
        <f>VLOOKUP(A257,'OPEB Amounts_Report'!$A$10:$G$324,6,FALSE)</f>
        <v>151859</v>
      </c>
      <c r="AG257" s="85">
        <f t="shared" si="11"/>
        <v>170339</v>
      </c>
    </row>
    <row r="258" spans="1:33">
      <c r="A258" s="166">
        <v>3320</v>
      </c>
      <c r="B258" s="167" t="s">
        <v>246</v>
      </c>
      <c r="C258" s="123">
        <f>VLOOKUP($A258,'Change in Proportion Calc'!$A$5:$P$319,12,FALSE)</f>
        <v>-81799</v>
      </c>
      <c r="D258" s="123">
        <f>VLOOKUP($A258,'Change in Proportion Calc'!$A$5:$P$319,13,FALSE)</f>
        <v>-81799</v>
      </c>
      <c r="E258" s="123">
        <f>VLOOKUP($A258,'Change in Proportion Calc'!$A$5:$P$319,13,FALSE)</f>
        <v>-81799</v>
      </c>
      <c r="F258" s="123">
        <f>VLOOKUP($A258,'Change in Proportion Calc'!$A$5:$P$319,13,FALSE)</f>
        <v>-81799</v>
      </c>
      <c r="G258" s="123">
        <f>VLOOKUP($A258,'Change in Proportion Calc'!$A$5:$P$319,16,FALSE)</f>
        <v>-72799</v>
      </c>
      <c r="H258" s="167"/>
      <c r="I258" s="123">
        <v>70299</v>
      </c>
      <c r="J258" s="123">
        <v>70299</v>
      </c>
      <c r="K258" s="123">
        <v>70299</v>
      </c>
      <c r="L258" s="123">
        <v>70299</v>
      </c>
      <c r="M258" s="123">
        <v>68892</v>
      </c>
      <c r="N258" s="167"/>
      <c r="O258" s="84">
        <v>-154221</v>
      </c>
      <c r="P258" s="84">
        <v>-154221</v>
      </c>
      <c r="Q258" s="84">
        <v>-154221</v>
      </c>
      <c r="R258" s="85">
        <v>-151136</v>
      </c>
      <c r="S258" s="167"/>
      <c r="T258" s="84">
        <v>-149604</v>
      </c>
      <c r="U258" s="84">
        <v>-149604</v>
      </c>
      <c r="V258" s="85">
        <v>-95745</v>
      </c>
      <c r="X258" s="84">
        <v>71581</v>
      </c>
      <c r="Y258" s="84">
        <v>51537</v>
      </c>
      <c r="AA258" s="85">
        <f>VLOOKUP(A258,'Change in Proportion Calc'!$A$5:$H$319,8,FALSE)+I258+O258+T258+X258</f>
        <v>-243744</v>
      </c>
      <c r="AC258" s="84">
        <f t="shared" si="9"/>
        <v>331326</v>
      </c>
      <c r="AD258" s="84">
        <f t="shared" si="10"/>
        <v>1104922</v>
      </c>
      <c r="AF258" s="84">
        <f>VLOOKUP(A258,'OPEB Amounts_Report'!$A$10:$G$324,6,FALSE)</f>
        <v>934152</v>
      </c>
      <c r="AG258" s="85">
        <f t="shared" si="11"/>
        <v>-602826</v>
      </c>
    </row>
    <row r="259" spans="1:33">
      <c r="A259" s="164">
        <v>20415</v>
      </c>
      <c r="B259" s="168" t="s">
        <v>247</v>
      </c>
      <c r="C259" s="123">
        <f>VLOOKUP($A259,'Change in Proportion Calc'!$A$5:$P$319,12,FALSE)</f>
        <v>31834</v>
      </c>
      <c r="D259" s="123">
        <f>VLOOKUP($A259,'Change in Proportion Calc'!$A$5:$P$319,13,FALSE)</f>
        <v>31834</v>
      </c>
      <c r="E259" s="123">
        <f>VLOOKUP($A259,'Change in Proportion Calc'!$A$5:$P$319,13,FALSE)</f>
        <v>31834</v>
      </c>
      <c r="F259" s="123">
        <f>VLOOKUP($A259,'Change in Proportion Calc'!$A$5:$P$319,13,FALSE)</f>
        <v>31834</v>
      </c>
      <c r="G259" s="123">
        <f>VLOOKUP($A259,'Change in Proportion Calc'!$A$5:$P$319,16,FALSE)</f>
        <v>28330</v>
      </c>
      <c r="H259" s="167"/>
      <c r="I259" s="123">
        <v>6155</v>
      </c>
      <c r="J259" s="123">
        <v>6155</v>
      </c>
      <c r="K259" s="123">
        <v>6155</v>
      </c>
      <c r="L259" s="123">
        <v>6155</v>
      </c>
      <c r="M259" s="123">
        <v>6033</v>
      </c>
      <c r="N259" s="167"/>
      <c r="O259" s="84">
        <v>-20695</v>
      </c>
      <c r="P259" s="84">
        <v>-20695</v>
      </c>
      <c r="Q259" s="84">
        <v>-20695</v>
      </c>
      <c r="R259" s="85">
        <v>-20279</v>
      </c>
      <c r="S259" s="167"/>
      <c r="T259" s="84">
        <v>34054</v>
      </c>
      <c r="U259" s="84">
        <v>34054</v>
      </c>
      <c r="V259" s="85">
        <v>21793</v>
      </c>
      <c r="X259" s="84">
        <v>-9045</v>
      </c>
      <c r="Y259" s="84">
        <v>-6512</v>
      </c>
      <c r="AA259" s="85">
        <f>VLOOKUP(A259,'Change in Proportion Calc'!$A$5:$H$319,8,FALSE)+I259+O259+T259+X259</f>
        <v>42303</v>
      </c>
      <c r="AC259" s="84">
        <f t="shared" si="9"/>
        <v>236011</v>
      </c>
      <c r="AD259" s="84">
        <f t="shared" si="10"/>
        <v>68181</v>
      </c>
      <c r="AF259" s="84">
        <f>VLOOKUP(A259,'OPEB Amounts_Report'!$A$10:$G$324,6,FALSE)</f>
        <v>113243</v>
      </c>
      <c r="AG259" s="85">
        <f t="shared" si="11"/>
        <v>122768</v>
      </c>
    </row>
    <row r="260" spans="1:33">
      <c r="A260" s="166">
        <v>20435</v>
      </c>
      <c r="B260" s="167" t="s">
        <v>435</v>
      </c>
      <c r="C260" s="123">
        <f>VLOOKUP($A260,'Change in Proportion Calc'!$A$5:$P$319,12,FALSE)</f>
        <v>44380</v>
      </c>
      <c r="D260" s="123">
        <f>VLOOKUP($A260,'Change in Proportion Calc'!$A$5:$P$319,13,FALSE)</f>
        <v>44380</v>
      </c>
      <c r="E260" s="123">
        <f>VLOOKUP($A260,'Change in Proportion Calc'!$A$5:$P$319,13,FALSE)</f>
        <v>44380</v>
      </c>
      <c r="F260" s="123">
        <f>VLOOKUP($A260,'Change in Proportion Calc'!$A$5:$P$319,13,FALSE)</f>
        <v>44380</v>
      </c>
      <c r="G260" s="123">
        <f>VLOOKUP($A260,'Change in Proportion Calc'!$A$5:$P$319,16,FALSE)</f>
        <v>39499</v>
      </c>
      <c r="H260" s="167"/>
      <c r="I260" s="123">
        <v>1053</v>
      </c>
      <c r="J260" s="123">
        <v>1053</v>
      </c>
      <c r="K260" s="123">
        <v>1053</v>
      </c>
      <c r="L260" s="123">
        <v>1053</v>
      </c>
      <c r="M260" s="123">
        <v>1031</v>
      </c>
      <c r="N260" s="167"/>
      <c r="O260" s="84">
        <v>18891</v>
      </c>
      <c r="P260" s="84">
        <v>18891</v>
      </c>
      <c r="Q260" s="84">
        <v>18891</v>
      </c>
      <c r="R260" s="85">
        <v>18514</v>
      </c>
      <c r="S260" s="167"/>
      <c r="T260" s="84">
        <v>-42397</v>
      </c>
      <c r="U260" s="84">
        <v>-42397</v>
      </c>
      <c r="V260" s="85">
        <v>-27136</v>
      </c>
      <c r="X260" s="84">
        <v>36179</v>
      </c>
      <c r="Y260" s="84">
        <v>26051</v>
      </c>
      <c r="AA260" s="85">
        <f>VLOOKUP(A260,'Change in Proportion Calc'!$A$5:$H$319,8,FALSE)+I260+O260+T260+X260</f>
        <v>58106</v>
      </c>
      <c r="AC260" s="84">
        <f t="shared" si="9"/>
        <v>303556</v>
      </c>
      <c r="AD260" s="84">
        <f t="shared" si="10"/>
        <v>69533</v>
      </c>
      <c r="AF260" s="84">
        <f>VLOOKUP(A260,'OPEB Amounts_Report'!$A$10:$G$324,6,FALSE)</f>
        <v>142012</v>
      </c>
      <c r="AG260" s="85">
        <f t="shared" si="11"/>
        <v>161544</v>
      </c>
    </row>
    <row r="261" spans="1:33">
      <c r="A261" s="164">
        <v>20062</v>
      </c>
      <c r="B261" s="168" t="s">
        <v>248</v>
      </c>
      <c r="C261" s="123">
        <f>VLOOKUP($A261,'Change in Proportion Calc'!$A$5:$P$319,12,FALSE)</f>
        <v>-144182</v>
      </c>
      <c r="D261" s="123">
        <f>VLOOKUP($A261,'Change in Proportion Calc'!$A$5:$P$319,13,FALSE)</f>
        <v>-144182</v>
      </c>
      <c r="E261" s="123">
        <f>VLOOKUP($A261,'Change in Proportion Calc'!$A$5:$P$319,13,FALSE)</f>
        <v>-144182</v>
      </c>
      <c r="F261" s="123">
        <f>VLOOKUP($A261,'Change in Proportion Calc'!$A$5:$P$319,13,FALSE)</f>
        <v>-144182</v>
      </c>
      <c r="G261" s="123">
        <f>VLOOKUP($A261,'Change in Proportion Calc'!$A$5:$P$319,16,FALSE)</f>
        <v>-128324</v>
      </c>
      <c r="H261" s="167"/>
      <c r="I261" s="123">
        <v>101237</v>
      </c>
      <c r="J261" s="123">
        <v>101237</v>
      </c>
      <c r="K261" s="123">
        <v>101237</v>
      </c>
      <c r="L261" s="123">
        <v>101237</v>
      </c>
      <c r="M261" s="123">
        <v>99211</v>
      </c>
      <c r="N261" s="167"/>
      <c r="O261" s="84">
        <v>5324</v>
      </c>
      <c r="P261" s="84">
        <v>5324</v>
      </c>
      <c r="Q261" s="84">
        <v>5324</v>
      </c>
      <c r="R261" s="85">
        <v>5217</v>
      </c>
      <c r="S261" s="167"/>
      <c r="T261" s="84">
        <v>31434</v>
      </c>
      <c r="U261" s="84">
        <v>31434</v>
      </c>
      <c r="V261" s="85">
        <v>20119</v>
      </c>
      <c r="X261" s="84">
        <v>-104162</v>
      </c>
      <c r="Y261" s="84">
        <v>-74995</v>
      </c>
      <c r="AA261" s="85">
        <f>VLOOKUP(A261,'Change in Proportion Calc'!$A$5:$H$319,8,FALSE)+I261+O261+T261+X261</f>
        <v>-110349</v>
      </c>
      <c r="AC261" s="84">
        <f t="shared" si="9"/>
        <v>470340</v>
      </c>
      <c r="AD261" s="84">
        <f t="shared" si="10"/>
        <v>780047</v>
      </c>
      <c r="AF261" s="84">
        <f>VLOOKUP(A261,'OPEB Amounts_Report'!$A$10:$G$324,6,FALSE)</f>
        <v>1451829</v>
      </c>
      <c r="AG261" s="85">
        <f t="shared" si="11"/>
        <v>-981489</v>
      </c>
    </row>
    <row r="262" spans="1:33">
      <c r="A262" s="166">
        <v>6020</v>
      </c>
      <c r="B262" s="167" t="s">
        <v>249</v>
      </c>
      <c r="C262" s="123">
        <f>VLOOKUP($A262,'Change in Proportion Calc'!$A$5:$P$319,12,FALSE)</f>
        <v>-15469</v>
      </c>
      <c r="D262" s="123">
        <f>VLOOKUP($A262,'Change in Proportion Calc'!$A$5:$P$319,13,FALSE)</f>
        <v>-15469</v>
      </c>
      <c r="E262" s="123">
        <f>VLOOKUP($A262,'Change in Proportion Calc'!$A$5:$P$319,13,FALSE)</f>
        <v>-15469</v>
      </c>
      <c r="F262" s="123">
        <f>VLOOKUP($A262,'Change in Proportion Calc'!$A$5:$P$319,13,FALSE)</f>
        <v>-15469</v>
      </c>
      <c r="G262" s="123">
        <f>VLOOKUP($A262,'Change in Proportion Calc'!$A$5:$P$319,16,FALSE)</f>
        <v>-13769</v>
      </c>
      <c r="H262" s="167"/>
      <c r="I262" s="123">
        <v>18628</v>
      </c>
      <c r="J262" s="123">
        <v>18628</v>
      </c>
      <c r="K262" s="123">
        <v>18628</v>
      </c>
      <c r="L262" s="123">
        <v>18628</v>
      </c>
      <c r="M262" s="123">
        <v>18253</v>
      </c>
      <c r="N262" s="167"/>
      <c r="O262" s="84">
        <v>-3606</v>
      </c>
      <c r="P262" s="84">
        <v>-3606</v>
      </c>
      <c r="Q262" s="84">
        <v>-3606</v>
      </c>
      <c r="R262" s="85">
        <v>-3536</v>
      </c>
      <c r="S262" s="167"/>
      <c r="T262" s="84">
        <v>11642</v>
      </c>
      <c r="U262" s="84">
        <v>11642</v>
      </c>
      <c r="V262" s="85">
        <v>7453</v>
      </c>
      <c r="X262" s="84">
        <v>-37930</v>
      </c>
      <c r="Y262" s="84">
        <v>-27310</v>
      </c>
      <c r="AA262" s="85">
        <f>VLOOKUP(A262,'Change in Proportion Calc'!$A$5:$H$319,8,FALSE)+I262+O262+T262+X262</f>
        <v>-26735</v>
      </c>
      <c r="AC262" s="84">
        <f t="shared" si="9"/>
        <v>93232</v>
      </c>
      <c r="AD262" s="84">
        <f t="shared" si="10"/>
        <v>113703</v>
      </c>
      <c r="AF262" s="84">
        <f>VLOOKUP(A262,'OPEB Amounts_Report'!$A$10:$G$324,6,FALSE)</f>
        <v>282654</v>
      </c>
      <c r="AG262" s="85">
        <f t="shared" si="11"/>
        <v>-189422</v>
      </c>
    </row>
    <row r="263" spans="1:33">
      <c r="A263" s="164">
        <v>2394</v>
      </c>
      <c r="B263" s="168" t="s">
        <v>250</v>
      </c>
      <c r="C263" s="123">
        <f>VLOOKUP($A263,'Change in Proportion Calc'!$A$5:$P$319,12,FALSE)</f>
        <v>23151</v>
      </c>
      <c r="D263" s="123">
        <f>VLOOKUP($A263,'Change in Proportion Calc'!$A$5:$P$319,13,FALSE)</f>
        <v>23151</v>
      </c>
      <c r="E263" s="123">
        <f>VLOOKUP($A263,'Change in Proportion Calc'!$A$5:$P$319,13,FALSE)</f>
        <v>23151</v>
      </c>
      <c r="F263" s="123">
        <f>VLOOKUP($A263,'Change in Proportion Calc'!$A$5:$P$319,13,FALSE)</f>
        <v>23151</v>
      </c>
      <c r="G263" s="123">
        <f>VLOOKUP($A263,'Change in Proportion Calc'!$A$5:$P$319,16,FALSE)</f>
        <v>20602</v>
      </c>
      <c r="H263" s="167"/>
      <c r="I263" s="123">
        <v>8342</v>
      </c>
      <c r="J263" s="123">
        <v>8342</v>
      </c>
      <c r="K263" s="123">
        <v>8342</v>
      </c>
      <c r="L263" s="123">
        <v>8342</v>
      </c>
      <c r="M263" s="123">
        <v>8175</v>
      </c>
      <c r="N263" s="167"/>
      <c r="O263" s="84">
        <v>4207</v>
      </c>
      <c r="P263" s="84">
        <v>4207</v>
      </c>
      <c r="Q263" s="84">
        <v>4207</v>
      </c>
      <c r="R263" s="85">
        <v>4125</v>
      </c>
      <c r="S263" s="167"/>
      <c r="T263" s="84">
        <v>19501</v>
      </c>
      <c r="U263" s="84">
        <v>19501</v>
      </c>
      <c r="V263" s="85">
        <v>12480</v>
      </c>
      <c r="X263" s="84">
        <v>88309</v>
      </c>
      <c r="Y263" s="84">
        <v>63582</v>
      </c>
      <c r="AA263" s="85">
        <f>VLOOKUP(A263,'Change in Proportion Calc'!$A$5:$H$319,8,FALSE)+I263+O263+T263+X263</f>
        <v>143510</v>
      </c>
      <c r="AC263" s="84">
        <f t="shared" si="9"/>
        <v>254509</v>
      </c>
      <c r="AD263" s="84">
        <f t="shared" si="10"/>
        <v>0</v>
      </c>
      <c r="AF263" s="84">
        <f>VLOOKUP(A263,'OPEB Amounts_Report'!$A$10:$G$324,6,FALSE)</f>
        <v>168760</v>
      </c>
      <c r="AG263" s="85">
        <f t="shared" si="11"/>
        <v>85749</v>
      </c>
    </row>
    <row r="264" spans="1:33">
      <c r="A264" s="166">
        <v>5015</v>
      </c>
      <c r="B264" s="167" t="s">
        <v>251</v>
      </c>
      <c r="C264" s="123">
        <f>VLOOKUP($A264,'Change in Proportion Calc'!$A$5:$P$319,12,FALSE)</f>
        <v>-12672</v>
      </c>
      <c r="D264" s="123">
        <f>VLOOKUP($A264,'Change in Proportion Calc'!$A$5:$P$319,13,FALSE)</f>
        <v>-12672</v>
      </c>
      <c r="E264" s="123">
        <f>VLOOKUP($A264,'Change in Proportion Calc'!$A$5:$P$319,13,FALSE)</f>
        <v>-12672</v>
      </c>
      <c r="F264" s="123">
        <f>VLOOKUP($A264,'Change in Proportion Calc'!$A$5:$P$319,13,FALSE)</f>
        <v>-12672</v>
      </c>
      <c r="G264" s="123">
        <f>VLOOKUP($A264,'Change in Proportion Calc'!$A$5:$P$319,16,FALSE)</f>
        <v>-11278</v>
      </c>
      <c r="H264" s="167"/>
      <c r="I264" s="123">
        <v>22353</v>
      </c>
      <c r="J264" s="123">
        <v>22353</v>
      </c>
      <c r="K264" s="123">
        <v>22353</v>
      </c>
      <c r="L264" s="123">
        <v>22353</v>
      </c>
      <c r="M264" s="123">
        <v>21906</v>
      </c>
      <c r="N264" s="167"/>
      <c r="O264" s="84">
        <v>12022</v>
      </c>
      <c r="P264" s="84">
        <v>12022</v>
      </c>
      <c r="Q264" s="84">
        <v>12022</v>
      </c>
      <c r="R264" s="85">
        <v>11780</v>
      </c>
      <c r="S264" s="167"/>
      <c r="T264" s="84">
        <v>11739</v>
      </c>
      <c r="U264" s="84">
        <v>11739</v>
      </c>
      <c r="V264" s="85">
        <v>7515</v>
      </c>
      <c r="X264" s="84">
        <v>-40556</v>
      </c>
      <c r="Y264" s="84">
        <v>-29200</v>
      </c>
      <c r="AA264" s="85">
        <f>VLOOKUP(A264,'Change in Proportion Calc'!$A$5:$H$319,8,FALSE)+I264+O264+T264+X264</f>
        <v>-7114</v>
      </c>
      <c r="AC264" s="84">
        <f t="shared" si="9"/>
        <v>144043</v>
      </c>
      <c r="AD264" s="84">
        <f t="shared" si="10"/>
        <v>91166</v>
      </c>
      <c r="AF264" s="84">
        <f>VLOOKUP(A264,'OPEB Amounts_Report'!$A$10:$G$324,6,FALSE)</f>
        <v>408308</v>
      </c>
      <c r="AG264" s="85">
        <f t="shared" si="11"/>
        <v>-264265</v>
      </c>
    </row>
    <row r="265" spans="1:33">
      <c r="A265" s="164">
        <v>29408</v>
      </c>
      <c r="B265" s="168" t="s">
        <v>252</v>
      </c>
      <c r="C265" s="123">
        <f>VLOOKUP($A265,'Change in Proportion Calc'!$A$5:$P$319,12,FALSE)</f>
        <v>-19588</v>
      </c>
      <c r="D265" s="123">
        <f>VLOOKUP($A265,'Change in Proportion Calc'!$A$5:$P$319,13,FALSE)</f>
        <v>-19588</v>
      </c>
      <c r="E265" s="123">
        <f>VLOOKUP($A265,'Change in Proportion Calc'!$A$5:$P$319,13,FALSE)</f>
        <v>-19588</v>
      </c>
      <c r="F265" s="123">
        <f>VLOOKUP($A265,'Change in Proportion Calc'!$A$5:$P$319,13,FALSE)</f>
        <v>-19588</v>
      </c>
      <c r="G265" s="123">
        <f>VLOOKUP($A265,'Change in Proportion Calc'!$A$5:$P$319,16,FALSE)</f>
        <v>-17432</v>
      </c>
      <c r="H265" s="167"/>
      <c r="I265" s="123">
        <v>40171</v>
      </c>
      <c r="J265" s="123">
        <v>40171</v>
      </c>
      <c r="K265" s="123">
        <v>40171</v>
      </c>
      <c r="L265" s="123">
        <v>40171</v>
      </c>
      <c r="M265" s="123">
        <v>39366</v>
      </c>
      <c r="N265" s="167"/>
      <c r="O265" s="84">
        <v>25246</v>
      </c>
      <c r="P265" s="84">
        <v>25246</v>
      </c>
      <c r="Q265" s="84">
        <v>25246</v>
      </c>
      <c r="R265" s="85">
        <v>24739</v>
      </c>
      <c r="S265" s="167"/>
      <c r="T265" s="84">
        <v>20277</v>
      </c>
      <c r="U265" s="84">
        <v>20277</v>
      </c>
      <c r="V265" s="85">
        <v>12977</v>
      </c>
      <c r="X265" s="84">
        <v>12643</v>
      </c>
      <c r="Y265" s="84">
        <v>9105</v>
      </c>
      <c r="AA265" s="85">
        <f>VLOOKUP(A265,'Change in Proportion Calc'!$A$5:$H$319,8,FALSE)+I265+O265+T265+X265</f>
        <v>78749</v>
      </c>
      <c r="AC265" s="84">
        <f t="shared" ref="AC265:AC322" si="12">IF(SUM(C265:G265)&gt;0,SUM(C265:G265),0)+IF(SUM(J265:M265)&gt;0,SUM(J265:M265),0)+IF(SUM(P265:R265)&gt;0,SUM(P265:R265),0)+IF(SUM(U265:V265)&gt;0,SUM(U265:V265),0)+IF(SUM(Y265)&gt;0,SUM(Y265),0)</f>
        <v>277469</v>
      </c>
      <c r="AD265" s="84">
        <f t="shared" ref="AD265:AD322" si="13">IF(SUM(C265:G265)&lt;0,-SUM(C265:G265),0)+IF(SUM(J265:M265)&lt;0,-SUM(J265:M265),0)+IF(SUM(P265:R265)&lt;0,-SUM(P265:R265),0)+IF(SUM(U265:V265)&lt;0,-SUM(U265:V265),0)+IF(SUM(Y265)&lt;0,-SUM(Y265),0)</f>
        <v>95784</v>
      </c>
      <c r="AF265" s="84">
        <f>VLOOKUP(A265,'OPEB Amounts_Report'!$A$10:$G$324,6,FALSE)</f>
        <v>264393</v>
      </c>
      <c r="AG265" s="85">
        <f t="shared" si="11"/>
        <v>13076</v>
      </c>
    </row>
    <row r="266" spans="1:33">
      <c r="A266" s="166">
        <v>2413</v>
      </c>
      <c r="B266" s="167" t="s">
        <v>253</v>
      </c>
      <c r="C266" s="123">
        <f>VLOOKUP($A266,'Change in Proportion Calc'!$A$5:$P$319,12,FALSE)</f>
        <v>-21283</v>
      </c>
      <c r="D266" s="123">
        <f>VLOOKUP($A266,'Change in Proportion Calc'!$A$5:$P$319,13,FALSE)</f>
        <v>-21283</v>
      </c>
      <c r="E266" s="123">
        <f>VLOOKUP($A266,'Change in Proportion Calc'!$A$5:$P$319,13,FALSE)</f>
        <v>-21283</v>
      </c>
      <c r="F266" s="123">
        <f>VLOOKUP($A266,'Change in Proportion Calc'!$A$5:$P$319,13,FALSE)</f>
        <v>-21283</v>
      </c>
      <c r="G266" s="123">
        <f>VLOOKUP($A266,'Change in Proportion Calc'!$A$5:$P$319,16,FALSE)</f>
        <v>-18943</v>
      </c>
      <c r="H266" s="167"/>
      <c r="I266" s="123">
        <v>-25188</v>
      </c>
      <c r="J266" s="123">
        <v>-25188</v>
      </c>
      <c r="K266" s="123">
        <v>-25188</v>
      </c>
      <c r="L266" s="123">
        <v>-25188</v>
      </c>
      <c r="M266" s="123">
        <v>-24683</v>
      </c>
      <c r="N266" s="167"/>
      <c r="O266" s="84">
        <v>-515</v>
      </c>
      <c r="P266" s="84">
        <v>-515</v>
      </c>
      <c r="Q266" s="84">
        <v>-515</v>
      </c>
      <c r="R266" s="85">
        <v>-506</v>
      </c>
      <c r="S266" s="167"/>
      <c r="T266" s="84">
        <v>-4754</v>
      </c>
      <c r="U266" s="84">
        <v>-4754</v>
      </c>
      <c r="V266" s="85">
        <v>-3042</v>
      </c>
      <c r="X266" s="84">
        <v>-43474</v>
      </c>
      <c r="Y266" s="84">
        <v>-31299</v>
      </c>
      <c r="AA266" s="85">
        <f>VLOOKUP(A266,'Change in Proportion Calc'!$A$5:$H$319,8,FALSE)+I266+O266+T266+X266</f>
        <v>-95214</v>
      </c>
      <c r="AC266" s="84">
        <f t="shared" si="12"/>
        <v>0</v>
      </c>
      <c r="AD266" s="84">
        <f t="shared" si="13"/>
        <v>244953</v>
      </c>
      <c r="AF266" s="84">
        <f>VLOOKUP(A266,'OPEB Amounts_Report'!$A$10:$G$324,6,FALSE)</f>
        <v>57294</v>
      </c>
      <c r="AG266" s="85">
        <f t="shared" ref="AG266:AG322" si="14">+AC266-AF266</f>
        <v>-57294</v>
      </c>
    </row>
    <row r="267" spans="1:33">
      <c r="A267" s="164">
        <v>1398</v>
      </c>
      <c r="B267" s="168" t="s">
        <v>254</v>
      </c>
      <c r="C267" s="123">
        <f>VLOOKUP($A267,'Change in Proportion Calc'!$A$5:$P$319,12,FALSE)</f>
        <v>-32770</v>
      </c>
      <c r="D267" s="123">
        <f>VLOOKUP($A267,'Change in Proportion Calc'!$A$5:$P$319,13,FALSE)</f>
        <v>-32770</v>
      </c>
      <c r="E267" s="123">
        <f>VLOOKUP($A267,'Change in Proportion Calc'!$A$5:$P$319,13,FALSE)</f>
        <v>-32770</v>
      </c>
      <c r="F267" s="123">
        <f>VLOOKUP($A267,'Change in Proportion Calc'!$A$5:$P$319,13,FALSE)</f>
        <v>-32770</v>
      </c>
      <c r="G267" s="123">
        <f>VLOOKUP($A267,'Change in Proportion Calc'!$A$5:$P$319,16,FALSE)</f>
        <v>-29167</v>
      </c>
      <c r="H267" s="167"/>
      <c r="I267" s="123">
        <v>-6560</v>
      </c>
      <c r="J267" s="123">
        <v>-6560</v>
      </c>
      <c r="K267" s="123">
        <v>-6560</v>
      </c>
      <c r="L267" s="123">
        <v>-6560</v>
      </c>
      <c r="M267" s="123">
        <v>-6430</v>
      </c>
      <c r="N267" s="167"/>
      <c r="O267" s="84">
        <v>17775</v>
      </c>
      <c r="P267" s="84">
        <v>17775</v>
      </c>
      <c r="Q267" s="84">
        <v>17775</v>
      </c>
      <c r="R267" s="85">
        <v>17419</v>
      </c>
      <c r="S267" s="167"/>
      <c r="T267" s="84">
        <v>10575</v>
      </c>
      <c r="U267" s="84">
        <v>10575</v>
      </c>
      <c r="V267" s="85">
        <v>6769</v>
      </c>
      <c r="X267" s="84">
        <v>10018</v>
      </c>
      <c r="Y267" s="84">
        <v>7211</v>
      </c>
      <c r="AA267" s="85">
        <f>VLOOKUP(A267,'Change in Proportion Calc'!$A$5:$H$319,8,FALSE)+I267+O267+T267+X267</f>
        <v>-962</v>
      </c>
      <c r="AC267" s="84">
        <f t="shared" si="12"/>
        <v>77524</v>
      </c>
      <c r="AD267" s="84">
        <f t="shared" si="13"/>
        <v>186357</v>
      </c>
      <c r="AF267" s="84">
        <f>VLOOKUP(A267,'OPEB Amounts_Report'!$A$10:$G$324,6,FALSE)</f>
        <v>106912</v>
      </c>
      <c r="AG267" s="85">
        <f t="shared" si="14"/>
        <v>-29388</v>
      </c>
    </row>
    <row r="268" spans="1:33">
      <c r="A268" s="166">
        <v>2366</v>
      </c>
      <c r="B268" s="167" t="s">
        <v>255</v>
      </c>
      <c r="C268" s="123">
        <f>VLOOKUP($A268,'Change in Proportion Calc'!$A$5:$P$319,12,FALSE)</f>
        <v>-30412</v>
      </c>
      <c r="D268" s="123">
        <f>VLOOKUP($A268,'Change in Proportion Calc'!$A$5:$P$319,13,FALSE)</f>
        <v>-30412</v>
      </c>
      <c r="E268" s="123">
        <f>VLOOKUP($A268,'Change in Proportion Calc'!$A$5:$P$319,13,FALSE)</f>
        <v>-30412</v>
      </c>
      <c r="F268" s="123">
        <f>VLOOKUP($A268,'Change in Proportion Calc'!$A$5:$P$319,13,FALSE)</f>
        <v>-30412</v>
      </c>
      <c r="G268" s="123">
        <f>VLOOKUP($A268,'Change in Proportion Calc'!$A$5:$P$319,16,FALSE)</f>
        <v>-27067</v>
      </c>
      <c r="H268" s="167"/>
      <c r="I268" s="123">
        <v>6641</v>
      </c>
      <c r="J268" s="123">
        <v>6641</v>
      </c>
      <c r="K268" s="123">
        <v>6641</v>
      </c>
      <c r="L268" s="123">
        <v>6641</v>
      </c>
      <c r="M268" s="123">
        <v>6509</v>
      </c>
      <c r="N268" s="167"/>
      <c r="O268" s="84">
        <v>-15542</v>
      </c>
      <c r="P268" s="84">
        <v>-15542</v>
      </c>
      <c r="Q268" s="84">
        <v>-15542</v>
      </c>
      <c r="R268" s="85">
        <v>-15233</v>
      </c>
      <c r="S268" s="167"/>
      <c r="T268" s="84">
        <v>-6791</v>
      </c>
      <c r="U268" s="84">
        <v>-6791</v>
      </c>
      <c r="V268" s="85">
        <v>-4348</v>
      </c>
      <c r="X268" s="84">
        <v>-16144</v>
      </c>
      <c r="Y268" s="84">
        <v>-11626</v>
      </c>
      <c r="AA268" s="85">
        <f>VLOOKUP(A268,'Change in Proportion Calc'!$A$5:$H$319,8,FALSE)+I268+O268+T268+X268</f>
        <v>-62248</v>
      </c>
      <c r="AC268" s="84">
        <f t="shared" si="12"/>
        <v>26432</v>
      </c>
      <c r="AD268" s="84">
        <f t="shared" si="13"/>
        <v>217797</v>
      </c>
      <c r="AF268" s="84">
        <f>VLOOKUP(A268,'OPEB Amounts_Report'!$A$10:$G$324,6,FALSE)</f>
        <v>115229</v>
      </c>
      <c r="AG268" s="85">
        <f t="shared" si="14"/>
        <v>-88797</v>
      </c>
    </row>
    <row r="269" spans="1:33">
      <c r="A269" s="164">
        <v>7421</v>
      </c>
      <c r="B269" s="168" t="s">
        <v>256</v>
      </c>
      <c r="C269" s="123">
        <f>VLOOKUP($A269,'Change in Proportion Calc'!$A$5:$P$319,12,FALSE)</f>
        <v>17510</v>
      </c>
      <c r="D269" s="123">
        <f>VLOOKUP($A269,'Change in Proportion Calc'!$A$5:$P$319,13,FALSE)</f>
        <v>17510</v>
      </c>
      <c r="E269" s="123">
        <f>VLOOKUP($A269,'Change in Proportion Calc'!$A$5:$P$319,13,FALSE)</f>
        <v>17510</v>
      </c>
      <c r="F269" s="123">
        <f>VLOOKUP($A269,'Change in Proportion Calc'!$A$5:$P$319,13,FALSE)</f>
        <v>17510</v>
      </c>
      <c r="G269" s="123">
        <f>VLOOKUP($A269,'Change in Proportion Calc'!$A$5:$P$319,16,FALSE)</f>
        <v>15584</v>
      </c>
      <c r="H269" s="167"/>
      <c r="I269" s="123">
        <v>3240</v>
      </c>
      <c r="J269" s="123">
        <v>3240</v>
      </c>
      <c r="K269" s="123">
        <v>3240</v>
      </c>
      <c r="L269" s="123">
        <v>3240</v>
      </c>
      <c r="M269" s="123">
        <v>3173</v>
      </c>
      <c r="N269" s="167"/>
      <c r="O269" s="84">
        <v>-50319</v>
      </c>
      <c r="P269" s="84">
        <v>-50319</v>
      </c>
      <c r="Q269" s="84">
        <v>-50319</v>
      </c>
      <c r="R269" s="85">
        <v>-49314</v>
      </c>
      <c r="S269" s="167"/>
      <c r="T269" s="84">
        <v>20762</v>
      </c>
      <c r="U269" s="84">
        <v>20762</v>
      </c>
      <c r="V269" s="85">
        <v>13288</v>
      </c>
      <c r="X269" s="84">
        <v>-35888</v>
      </c>
      <c r="Y269" s="84">
        <v>-25837</v>
      </c>
      <c r="AA269" s="85">
        <f>VLOOKUP(A269,'Change in Proportion Calc'!$A$5:$H$319,8,FALSE)+I269+O269+T269+X269</f>
        <v>-44695</v>
      </c>
      <c r="AC269" s="84">
        <f t="shared" si="12"/>
        <v>132567</v>
      </c>
      <c r="AD269" s="84">
        <f t="shared" si="13"/>
        <v>175789</v>
      </c>
      <c r="AF269" s="84">
        <f>VLOOKUP(A269,'OPEB Amounts_Report'!$A$10:$G$324,6,FALSE)</f>
        <v>116001</v>
      </c>
      <c r="AG269" s="85">
        <f t="shared" si="14"/>
        <v>16566</v>
      </c>
    </row>
    <row r="270" spans="1:33">
      <c r="A270" s="164">
        <v>1425</v>
      </c>
      <c r="B270" s="168" t="s">
        <v>555</v>
      </c>
      <c r="C270" s="123">
        <f>VLOOKUP($A270,'Change in Proportion Calc'!$A$5:$P$319,12,FALSE)</f>
        <v>8919</v>
      </c>
      <c r="D270" s="123">
        <f>VLOOKUP($A270,'Change in Proportion Calc'!$A$5:$P$319,13,FALSE)</f>
        <v>8919</v>
      </c>
      <c r="E270" s="123">
        <f>VLOOKUP($A270,'Change in Proportion Calc'!$A$5:$P$319,13,FALSE)</f>
        <v>8919</v>
      </c>
      <c r="F270" s="123">
        <f>VLOOKUP($A270,'Change in Proportion Calc'!$A$5:$P$319,13,FALSE)</f>
        <v>8919</v>
      </c>
      <c r="G270" s="123">
        <f>VLOOKUP($A270,'Change in Proportion Calc'!$A$5:$P$319,16,FALSE)</f>
        <v>7936</v>
      </c>
      <c r="H270" s="167"/>
      <c r="I270" s="123">
        <v>0</v>
      </c>
      <c r="J270" s="123">
        <v>0</v>
      </c>
      <c r="K270" s="123">
        <v>0</v>
      </c>
      <c r="L270" s="123">
        <v>0</v>
      </c>
      <c r="M270" s="123">
        <v>0</v>
      </c>
      <c r="N270" s="167"/>
      <c r="O270" s="84">
        <v>0</v>
      </c>
      <c r="P270" s="84">
        <v>0</v>
      </c>
      <c r="Q270" s="84">
        <v>0</v>
      </c>
      <c r="R270" s="85">
        <v>0</v>
      </c>
      <c r="S270" s="167"/>
      <c r="T270" s="84">
        <v>0</v>
      </c>
      <c r="U270" s="84">
        <v>0</v>
      </c>
      <c r="V270" s="85">
        <v>0</v>
      </c>
      <c r="X270" s="84">
        <v>0</v>
      </c>
      <c r="Y270" s="84">
        <v>0</v>
      </c>
      <c r="AA270" s="85">
        <f>VLOOKUP(A270,'Change in Proportion Calc'!$A$5:$H$319,8,FALSE)+I270+O270+T270+X270</f>
        <v>8919</v>
      </c>
      <c r="AC270" s="84">
        <f t="shared" si="12"/>
        <v>43612</v>
      </c>
      <c r="AD270" s="84">
        <f t="shared" si="13"/>
        <v>0</v>
      </c>
      <c r="AF270" s="84">
        <f>VLOOKUP(A270,'OPEB Amounts_Report'!$A$10:$G$324,6,FALSE)</f>
        <v>5899</v>
      </c>
      <c r="AG270" s="85">
        <f t="shared" si="14"/>
        <v>37713</v>
      </c>
    </row>
    <row r="271" spans="1:33">
      <c r="A271" s="166">
        <v>2370</v>
      </c>
      <c r="B271" s="167" t="s">
        <v>257</v>
      </c>
      <c r="C271" s="123">
        <f>VLOOKUP($A271,'Change in Proportion Calc'!$A$5:$P$319,12,FALSE)</f>
        <v>-34298</v>
      </c>
      <c r="D271" s="123">
        <f>VLOOKUP($A271,'Change in Proportion Calc'!$A$5:$P$319,13,FALSE)</f>
        <v>-34298</v>
      </c>
      <c r="E271" s="123">
        <f>VLOOKUP($A271,'Change in Proportion Calc'!$A$5:$P$319,13,FALSE)</f>
        <v>-34298</v>
      </c>
      <c r="F271" s="123">
        <f>VLOOKUP($A271,'Change in Proportion Calc'!$A$5:$P$319,13,FALSE)</f>
        <v>-34298</v>
      </c>
      <c r="G271" s="123">
        <f>VLOOKUP($A271,'Change in Proportion Calc'!$A$5:$P$319,16,FALSE)</f>
        <v>-30523</v>
      </c>
      <c r="H271" s="167"/>
      <c r="I271" s="123">
        <v>14578</v>
      </c>
      <c r="J271" s="123">
        <v>14578</v>
      </c>
      <c r="K271" s="123">
        <v>14578</v>
      </c>
      <c r="L271" s="123">
        <v>14578</v>
      </c>
      <c r="M271" s="123">
        <v>14287</v>
      </c>
      <c r="N271" s="167"/>
      <c r="O271" s="84">
        <v>17861</v>
      </c>
      <c r="P271" s="84">
        <v>17861</v>
      </c>
      <c r="Q271" s="84">
        <v>17861</v>
      </c>
      <c r="R271" s="85">
        <v>17502</v>
      </c>
      <c r="S271" s="167"/>
      <c r="T271" s="84">
        <v>15232</v>
      </c>
      <c r="U271" s="84">
        <v>15232</v>
      </c>
      <c r="V271" s="85">
        <v>9749</v>
      </c>
      <c r="X271" s="84">
        <v>-38514</v>
      </c>
      <c r="Y271" s="84">
        <v>-27728</v>
      </c>
      <c r="AA271" s="85">
        <f>VLOOKUP(A271,'Change in Proportion Calc'!$A$5:$H$319,8,FALSE)+I271+O271+T271+X271</f>
        <v>-25141</v>
      </c>
      <c r="AC271" s="84">
        <f t="shared" si="12"/>
        <v>136226</v>
      </c>
      <c r="AD271" s="84">
        <f t="shared" si="13"/>
        <v>195443</v>
      </c>
      <c r="AF271" s="84">
        <f>VLOOKUP(A271,'OPEB Amounts_Report'!$A$10:$G$324,6,FALSE)</f>
        <v>175301</v>
      </c>
      <c r="AG271" s="85">
        <f t="shared" si="14"/>
        <v>-39075</v>
      </c>
    </row>
    <row r="272" spans="1:33">
      <c r="A272" s="164">
        <v>32094</v>
      </c>
      <c r="B272" s="168" t="s">
        <v>258</v>
      </c>
      <c r="C272" s="123">
        <f>VLOOKUP($A272,'Change in Proportion Calc'!$A$5:$P$319,12,FALSE)</f>
        <v>7909</v>
      </c>
      <c r="D272" s="123">
        <f>VLOOKUP($A272,'Change in Proportion Calc'!$A$5:$P$319,13,FALSE)</f>
        <v>7909</v>
      </c>
      <c r="E272" s="123">
        <f>VLOOKUP($A272,'Change in Proportion Calc'!$A$5:$P$319,13,FALSE)</f>
        <v>7909</v>
      </c>
      <c r="F272" s="123">
        <f>VLOOKUP($A272,'Change in Proportion Calc'!$A$5:$P$319,13,FALSE)</f>
        <v>7909</v>
      </c>
      <c r="G272" s="123">
        <f>VLOOKUP($A272,'Change in Proportion Calc'!$A$5:$P$319,16,FALSE)</f>
        <v>7038</v>
      </c>
      <c r="H272" s="167"/>
      <c r="I272" s="123">
        <v>8018</v>
      </c>
      <c r="J272" s="123">
        <v>8018</v>
      </c>
      <c r="K272" s="123">
        <v>8018</v>
      </c>
      <c r="L272" s="123">
        <v>8018</v>
      </c>
      <c r="M272" s="123">
        <v>7857</v>
      </c>
      <c r="N272" s="167"/>
      <c r="O272" s="84">
        <v>11678</v>
      </c>
      <c r="P272" s="84">
        <v>11678</v>
      </c>
      <c r="Q272" s="84">
        <v>11678</v>
      </c>
      <c r="R272" s="85">
        <v>11446</v>
      </c>
      <c r="S272" s="167"/>
      <c r="T272" s="84">
        <v>-4948</v>
      </c>
      <c r="U272" s="84">
        <v>-4948</v>
      </c>
      <c r="V272" s="85">
        <v>-3167</v>
      </c>
      <c r="X272" s="84">
        <v>-22758</v>
      </c>
      <c r="Y272" s="84">
        <v>-16386</v>
      </c>
      <c r="AA272" s="85">
        <f>VLOOKUP(A272,'Change in Proportion Calc'!$A$5:$H$319,8,FALSE)+I272+O272+T272+X272</f>
        <v>-101</v>
      </c>
      <c r="AC272" s="84">
        <f t="shared" si="12"/>
        <v>105387</v>
      </c>
      <c r="AD272" s="84">
        <f t="shared" si="13"/>
        <v>24501</v>
      </c>
      <c r="AF272" s="84">
        <f>VLOOKUP(A272,'OPEB Amounts_Report'!$A$10:$G$324,6,FALSE)</f>
        <v>207016</v>
      </c>
      <c r="AG272" s="85">
        <f t="shared" si="14"/>
        <v>-101629</v>
      </c>
    </row>
    <row r="273" spans="1:33">
      <c r="A273" s="166">
        <v>2790</v>
      </c>
      <c r="B273" s="167" t="s">
        <v>259</v>
      </c>
      <c r="C273" s="123">
        <f>VLOOKUP($A273,'Change in Proportion Calc'!$A$5:$P$319,12,FALSE)</f>
        <v>-417</v>
      </c>
      <c r="D273" s="123">
        <f>VLOOKUP($A273,'Change in Proportion Calc'!$A$5:$P$319,13,FALSE)</f>
        <v>-417</v>
      </c>
      <c r="E273" s="123">
        <f>VLOOKUP($A273,'Change in Proportion Calc'!$A$5:$P$319,13,FALSE)</f>
        <v>-417</v>
      </c>
      <c r="F273" s="123">
        <f>VLOOKUP($A273,'Change in Proportion Calc'!$A$5:$P$319,13,FALSE)</f>
        <v>-417</v>
      </c>
      <c r="G273" s="123">
        <f>VLOOKUP($A273,'Change in Proportion Calc'!$A$5:$P$319,16,FALSE)</f>
        <v>-372</v>
      </c>
      <c r="H273" s="167"/>
      <c r="I273" s="123">
        <v>8261</v>
      </c>
      <c r="J273" s="123">
        <v>8261</v>
      </c>
      <c r="K273" s="123">
        <v>8261</v>
      </c>
      <c r="L273" s="123">
        <v>8261</v>
      </c>
      <c r="M273" s="123">
        <v>8095</v>
      </c>
      <c r="N273" s="167"/>
      <c r="O273" s="84">
        <v>-12795</v>
      </c>
      <c r="P273" s="84">
        <v>-12795</v>
      </c>
      <c r="Q273" s="84">
        <v>-12795</v>
      </c>
      <c r="R273" s="85">
        <v>-12537</v>
      </c>
      <c r="S273" s="167"/>
      <c r="T273" s="84">
        <v>873</v>
      </c>
      <c r="U273" s="84">
        <v>873</v>
      </c>
      <c r="V273" s="85">
        <v>560</v>
      </c>
      <c r="X273" s="84">
        <v>-3988</v>
      </c>
      <c r="Y273" s="84">
        <v>-2869</v>
      </c>
      <c r="AA273" s="85">
        <f>VLOOKUP(A273,'Change in Proportion Calc'!$A$5:$H$319,8,FALSE)+I273+O273+T273+X273</f>
        <v>-8066</v>
      </c>
      <c r="AC273" s="84">
        <f t="shared" si="12"/>
        <v>34311</v>
      </c>
      <c r="AD273" s="84">
        <f t="shared" si="13"/>
        <v>43036</v>
      </c>
      <c r="AF273" s="84">
        <f>VLOOKUP(A273,'OPEB Amounts_Report'!$A$10:$G$324,6,FALSE)</f>
        <v>22068</v>
      </c>
      <c r="AG273" s="85">
        <f t="shared" si="14"/>
        <v>12243</v>
      </c>
    </row>
    <row r="274" spans="1:33">
      <c r="A274" s="164">
        <v>3330</v>
      </c>
      <c r="B274" s="168" t="s">
        <v>260</v>
      </c>
      <c r="C274" s="123">
        <f>VLOOKUP($A274,'Change in Proportion Calc'!$A$5:$P$319,12,FALSE)</f>
        <v>12948</v>
      </c>
      <c r="D274" s="123">
        <f>VLOOKUP($A274,'Change in Proportion Calc'!$A$5:$P$319,13,FALSE)</f>
        <v>12948</v>
      </c>
      <c r="E274" s="123">
        <f>VLOOKUP($A274,'Change in Proportion Calc'!$A$5:$P$319,13,FALSE)</f>
        <v>12948</v>
      </c>
      <c r="F274" s="123">
        <f>VLOOKUP($A274,'Change in Proportion Calc'!$A$5:$P$319,13,FALSE)</f>
        <v>12948</v>
      </c>
      <c r="G274" s="123">
        <f>VLOOKUP($A274,'Change in Proportion Calc'!$A$5:$P$319,16,FALSE)</f>
        <v>11526</v>
      </c>
      <c r="H274" s="167"/>
      <c r="I274" s="123">
        <v>45597</v>
      </c>
      <c r="J274" s="123">
        <v>45597</v>
      </c>
      <c r="K274" s="123">
        <v>45597</v>
      </c>
      <c r="L274" s="123">
        <v>45597</v>
      </c>
      <c r="M274" s="123">
        <v>44685</v>
      </c>
      <c r="N274" s="167"/>
      <c r="O274" s="84">
        <v>5582</v>
      </c>
      <c r="P274" s="84">
        <v>5582</v>
      </c>
      <c r="Q274" s="84">
        <v>5582</v>
      </c>
      <c r="R274" s="85">
        <v>5468</v>
      </c>
      <c r="S274" s="167"/>
      <c r="T274" s="84">
        <v>29591</v>
      </c>
      <c r="U274" s="84">
        <v>29591</v>
      </c>
      <c r="V274" s="85">
        <v>18938</v>
      </c>
      <c r="X274" s="84">
        <v>-26551</v>
      </c>
      <c r="Y274" s="84">
        <v>-19117</v>
      </c>
      <c r="AA274" s="85">
        <f>VLOOKUP(A274,'Change in Proportion Calc'!$A$5:$H$319,8,FALSE)+I274+O274+T274+X274</f>
        <v>67168</v>
      </c>
      <c r="AC274" s="84">
        <f t="shared" si="12"/>
        <v>309955</v>
      </c>
      <c r="AD274" s="84">
        <f t="shared" si="13"/>
        <v>19117</v>
      </c>
      <c r="AF274" s="84">
        <f>VLOOKUP(A274,'OPEB Amounts_Report'!$A$10:$G$324,6,FALSE)</f>
        <v>456280</v>
      </c>
      <c r="AG274" s="85">
        <f t="shared" si="14"/>
        <v>-146325</v>
      </c>
    </row>
    <row r="275" spans="1:33">
      <c r="A275" s="166">
        <v>2080</v>
      </c>
      <c r="B275" s="167" t="s">
        <v>261</v>
      </c>
      <c r="C275" s="123">
        <f>VLOOKUP($A275,'Change in Proportion Calc'!$A$5:$P$319,12,FALSE)</f>
        <v>-6621</v>
      </c>
      <c r="D275" s="123">
        <f>VLOOKUP($A275,'Change in Proportion Calc'!$A$5:$P$319,13,FALSE)</f>
        <v>-6621</v>
      </c>
      <c r="E275" s="123">
        <f>VLOOKUP($A275,'Change in Proportion Calc'!$A$5:$P$319,13,FALSE)</f>
        <v>-6621</v>
      </c>
      <c r="F275" s="123">
        <f>VLOOKUP($A275,'Change in Proportion Calc'!$A$5:$P$319,13,FALSE)</f>
        <v>-6621</v>
      </c>
      <c r="G275" s="123">
        <f>VLOOKUP($A275,'Change in Proportion Calc'!$A$5:$P$319,16,FALSE)</f>
        <v>-5892</v>
      </c>
      <c r="H275" s="167"/>
      <c r="I275" s="123">
        <v>-39118</v>
      </c>
      <c r="J275" s="123">
        <v>-39118</v>
      </c>
      <c r="K275" s="123">
        <v>-39118</v>
      </c>
      <c r="L275" s="123">
        <v>-39118</v>
      </c>
      <c r="M275" s="123">
        <v>-38335</v>
      </c>
      <c r="N275" s="167"/>
      <c r="O275" s="84">
        <v>26104</v>
      </c>
      <c r="P275" s="84">
        <v>26104</v>
      </c>
      <c r="Q275" s="84">
        <v>26104</v>
      </c>
      <c r="R275" s="85">
        <v>25583</v>
      </c>
      <c r="S275" s="167"/>
      <c r="T275" s="84">
        <v>74802</v>
      </c>
      <c r="U275" s="84">
        <v>74802</v>
      </c>
      <c r="V275" s="85">
        <v>47873</v>
      </c>
      <c r="X275" s="84">
        <v>21007</v>
      </c>
      <c r="Y275" s="84">
        <v>15127</v>
      </c>
      <c r="AA275" s="85">
        <f>VLOOKUP(A275,'Change in Proportion Calc'!$A$5:$H$319,8,FALSE)+I275+O275+T275+X275</f>
        <v>76174</v>
      </c>
      <c r="AC275" s="84">
        <f t="shared" si="12"/>
        <v>215593</v>
      </c>
      <c r="AD275" s="84">
        <f t="shared" si="13"/>
        <v>188065</v>
      </c>
      <c r="AF275" s="84">
        <f>VLOOKUP(A275,'OPEB Amounts_Report'!$A$10:$G$324,6,FALSE)</f>
        <v>506471</v>
      </c>
      <c r="AG275" s="85">
        <f t="shared" si="14"/>
        <v>-290878</v>
      </c>
    </row>
    <row r="276" spans="1:33">
      <c r="A276" s="164">
        <v>4290</v>
      </c>
      <c r="B276" s="168" t="s">
        <v>262</v>
      </c>
      <c r="C276" s="123">
        <f>VLOOKUP($A276,'Change in Proportion Calc'!$A$5:$P$319,12,FALSE)</f>
        <v>870</v>
      </c>
      <c r="D276" s="123">
        <f>VLOOKUP($A276,'Change in Proportion Calc'!$A$5:$P$319,13,FALSE)</f>
        <v>870</v>
      </c>
      <c r="E276" s="123">
        <f>VLOOKUP($A276,'Change in Proportion Calc'!$A$5:$P$319,13,FALSE)</f>
        <v>870</v>
      </c>
      <c r="F276" s="123">
        <f>VLOOKUP($A276,'Change in Proportion Calc'!$A$5:$P$319,13,FALSE)</f>
        <v>870</v>
      </c>
      <c r="G276" s="123">
        <f>VLOOKUP($A276,'Change in Proportion Calc'!$A$5:$P$319,16,FALSE)</f>
        <v>776</v>
      </c>
      <c r="H276" s="167"/>
      <c r="I276" s="123">
        <v>405</v>
      </c>
      <c r="J276" s="123">
        <v>405</v>
      </c>
      <c r="K276" s="123">
        <v>405</v>
      </c>
      <c r="L276" s="123">
        <v>405</v>
      </c>
      <c r="M276" s="123">
        <v>397</v>
      </c>
      <c r="N276" s="167"/>
      <c r="O276" s="84">
        <v>-2576</v>
      </c>
      <c r="P276" s="84">
        <v>-2576</v>
      </c>
      <c r="Q276" s="84">
        <v>-2576</v>
      </c>
      <c r="R276" s="85">
        <v>-2525</v>
      </c>
      <c r="S276" s="167"/>
      <c r="T276" s="84">
        <v>36576</v>
      </c>
      <c r="U276" s="84">
        <v>36576</v>
      </c>
      <c r="V276" s="85">
        <v>23410</v>
      </c>
      <c r="X276" s="84">
        <v>31317</v>
      </c>
      <c r="Y276" s="84">
        <v>22546</v>
      </c>
      <c r="AA276" s="85">
        <f>VLOOKUP(A276,'Change in Proportion Calc'!$A$5:$H$319,8,FALSE)+I276+O276+T276+X276</f>
        <v>66592</v>
      </c>
      <c r="AC276" s="84">
        <f t="shared" si="12"/>
        <v>88400</v>
      </c>
      <c r="AD276" s="84">
        <f t="shared" si="13"/>
        <v>7677</v>
      </c>
      <c r="AF276" s="84">
        <f>VLOOKUP(A276,'OPEB Amounts_Report'!$A$10:$G$324,6,FALSE)</f>
        <v>168722</v>
      </c>
      <c r="AG276" s="85">
        <f t="shared" si="14"/>
        <v>-80322</v>
      </c>
    </row>
    <row r="277" spans="1:33">
      <c r="A277" s="166">
        <v>2270</v>
      </c>
      <c r="B277" s="167" t="s">
        <v>263</v>
      </c>
      <c r="C277" s="123">
        <f>VLOOKUP($A277,'Change in Proportion Calc'!$A$5:$P$319,12,FALSE)</f>
        <v>-1944</v>
      </c>
      <c r="D277" s="123">
        <f>VLOOKUP($A277,'Change in Proportion Calc'!$A$5:$P$319,13,FALSE)</f>
        <v>-1944</v>
      </c>
      <c r="E277" s="123">
        <f>VLOOKUP($A277,'Change in Proportion Calc'!$A$5:$P$319,13,FALSE)</f>
        <v>-1944</v>
      </c>
      <c r="F277" s="123">
        <f>VLOOKUP($A277,'Change in Proportion Calc'!$A$5:$P$319,13,FALSE)</f>
        <v>-1944</v>
      </c>
      <c r="G277" s="123">
        <f>VLOOKUP($A277,'Change in Proportion Calc'!$A$5:$P$319,16,FALSE)</f>
        <v>-1728</v>
      </c>
      <c r="H277" s="167"/>
      <c r="I277" s="123">
        <v>-4940</v>
      </c>
      <c r="J277" s="123">
        <v>-4940</v>
      </c>
      <c r="K277" s="123">
        <v>-4940</v>
      </c>
      <c r="L277" s="123">
        <v>-4940</v>
      </c>
      <c r="M277" s="123">
        <v>-4843</v>
      </c>
      <c r="N277" s="167"/>
      <c r="O277" s="84">
        <v>-5925</v>
      </c>
      <c r="P277" s="84">
        <v>-5925</v>
      </c>
      <c r="Q277" s="84">
        <v>-5925</v>
      </c>
      <c r="R277" s="85">
        <v>-5806</v>
      </c>
      <c r="S277" s="167"/>
      <c r="T277" s="84">
        <v>1261</v>
      </c>
      <c r="U277" s="84">
        <v>1261</v>
      </c>
      <c r="V277" s="85">
        <v>808</v>
      </c>
      <c r="X277" s="84">
        <v>3112</v>
      </c>
      <c r="Y277" s="84">
        <v>2242</v>
      </c>
      <c r="AA277" s="85">
        <f>VLOOKUP(A277,'Change in Proportion Calc'!$A$5:$H$319,8,FALSE)+I277+O277+T277+X277</f>
        <v>-8435</v>
      </c>
      <c r="AC277" s="84">
        <f t="shared" si="12"/>
        <v>4311</v>
      </c>
      <c r="AD277" s="84">
        <f t="shared" si="13"/>
        <v>46823</v>
      </c>
      <c r="AF277" s="84">
        <f>VLOOKUP(A277,'OPEB Amounts_Report'!$A$10:$G$324,6,FALSE)</f>
        <v>8283</v>
      </c>
      <c r="AG277" s="85">
        <f t="shared" si="14"/>
        <v>-3972</v>
      </c>
    </row>
    <row r="278" spans="1:33">
      <c r="A278" s="164">
        <v>2300</v>
      </c>
      <c r="B278" s="168" t="s">
        <v>264</v>
      </c>
      <c r="C278" s="123">
        <f>VLOOKUP($A278,'Change in Proportion Calc'!$A$5:$P$319,12,FALSE)</f>
        <v>5175</v>
      </c>
      <c r="D278" s="123">
        <f>VLOOKUP($A278,'Change in Proportion Calc'!$A$5:$P$319,13,FALSE)</f>
        <v>5175</v>
      </c>
      <c r="E278" s="123">
        <f>VLOOKUP($A278,'Change in Proportion Calc'!$A$5:$P$319,13,FALSE)</f>
        <v>5175</v>
      </c>
      <c r="F278" s="123">
        <f>VLOOKUP($A278,'Change in Proportion Calc'!$A$5:$P$319,13,FALSE)</f>
        <v>5175</v>
      </c>
      <c r="G278" s="123">
        <f>VLOOKUP($A278,'Change in Proportion Calc'!$A$5:$P$319,16,FALSE)</f>
        <v>4604</v>
      </c>
      <c r="H278" s="167"/>
      <c r="I278" s="123">
        <v>-6236</v>
      </c>
      <c r="J278" s="123">
        <v>-6236</v>
      </c>
      <c r="K278" s="123">
        <v>-6236</v>
      </c>
      <c r="L278" s="123">
        <v>-6236</v>
      </c>
      <c r="M278" s="123">
        <v>-6112</v>
      </c>
      <c r="N278" s="167"/>
      <c r="O278" s="84">
        <v>1889</v>
      </c>
      <c r="P278" s="84">
        <v>1889</v>
      </c>
      <c r="Q278" s="84">
        <v>1889</v>
      </c>
      <c r="R278" s="85">
        <v>1852</v>
      </c>
      <c r="S278" s="167"/>
      <c r="T278" s="84">
        <v>-17464</v>
      </c>
      <c r="U278" s="84">
        <v>-17464</v>
      </c>
      <c r="V278" s="85">
        <v>-11175</v>
      </c>
      <c r="X278" s="84">
        <v>-13519</v>
      </c>
      <c r="Y278" s="84">
        <v>-9732</v>
      </c>
      <c r="AA278" s="85">
        <f>VLOOKUP(A278,'Change in Proportion Calc'!$A$5:$H$319,8,FALSE)+I278+O278+T278+X278</f>
        <v>-30155</v>
      </c>
      <c r="AC278" s="84">
        <f t="shared" si="12"/>
        <v>30934</v>
      </c>
      <c r="AD278" s="84">
        <f t="shared" si="13"/>
        <v>63191</v>
      </c>
      <c r="AF278" s="84">
        <f>VLOOKUP(A278,'OPEB Amounts_Report'!$A$10:$G$324,6,FALSE)</f>
        <v>48554</v>
      </c>
      <c r="AG278" s="85">
        <f t="shared" si="14"/>
        <v>-17620</v>
      </c>
    </row>
    <row r="279" spans="1:33">
      <c r="A279" s="166">
        <v>2720</v>
      </c>
      <c r="B279" s="167" t="s">
        <v>265</v>
      </c>
      <c r="C279" s="123">
        <f>VLOOKUP($A279,'Change in Proportion Calc'!$A$5:$P$319,12,FALSE)</f>
        <v>13350</v>
      </c>
      <c r="D279" s="123">
        <f>VLOOKUP($A279,'Change in Proportion Calc'!$A$5:$P$319,13,FALSE)</f>
        <v>13350</v>
      </c>
      <c r="E279" s="123">
        <f>VLOOKUP($A279,'Change in Proportion Calc'!$A$5:$P$319,13,FALSE)</f>
        <v>13350</v>
      </c>
      <c r="F279" s="123">
        <f>VLOOKUP($A279,'Change in Proportion Calc'!$A$5:$P$319,13,FALSE)</f>
        <v>13350</v>
      </c>
      <c r="G279" s="123">
        <f>VLOOKUP($A279,'Change in Proportion Calc'!$A$5:$P$319,16,FALSE)</f>
        <v>11881</v>
      </c>
      <c r="H279" s="167"/>
      <c r="I279" s="123">
        <v>17089</v>
      </c>
      <c r="J279" s="123">
        <v>17089</v>
      </c>
      <c r="K279" s="123">
        <v>17089</v>
      </c>
      <c r="L279" s="123">
        <v>17089</v>
      </c>
      <c r="M279" s="123">
        <v>16746</v>
      </c>
      <c r="N279" s="167"/>
      <c r="O279" s="84">
        <v>-89991</v>
      </c>
      <c r="P279" s="84">
        <v>-89991</v>
      </c>
      <c r="Q279" s="84">
        <v>-89991</v>
      </c>
      <c r="R279" s="85">
        <v>-88190</v>
      </c>
      <c r="S279" s="167"/>
      <c r="T279" s="84">
        <v>-7956</v>
      </c>
      <c r="U279" s="84">
        <v>-7956</v>
      </c>
      <c r="V279" s="85">
        <v>-5090</v>
      </c>
      <c r="X279" s="84">
        <v>13616</v>
      </c>
      <c r="Y279" s="84">
        <v>9803</v>
      </c>
      <c r="AA279" s="85">
        <f>VLOOKUP(A279,'Change in Proportion Calc'!$A$5:$H$319,8,FALSE)+I279+O279+T279+X279</f>
        <v>-53892</v>
      </c>
      <c r="AC279" s="84">
        <f t="shared" si="12"/>
        <v>143097</v>
      </c>
      <c r="AD279" s="84">
        <f t="shared" si="13"/>
        <v>281218</v>
      </c>
      <c r="AF279" s="84">
        <f>VLOOKUP(A279,'OPEB Amounts_Report'!$A$10:$G$324,6,FALSE)</f>
        <v>674114</v>
      </c>
      <c r="AG279" s="85">
        <f t="shared" si="14"/>
        <v>-531017</v>
      </c>
    </row>
    <row r="280" spans="1:33">
      <c r="A280" s="164">
        <v>2750</v>
      </c>
      <c r="B280" s="168" t="s">
        <v>266</v>
      </c>
      <c r="C280" s="123">
        <f>VLOOKUP($A280,'Change in Proportion Calc'!$A$5:$P$319,12,FALSE)</f>
        <v>10257</v>
      </c>
      <c r="D280" s="123">
        <f>VLOOKUP($A280,'Change in Proportion Calc'!$A$5:$P$319,13,FALSE)</f>
        <v>10257</v>
      </c>
      <c r="E280" s="123">
        <f>VLOOKUP($A280,'Change in Proportion Calc'!$A$5:$P$319,13,FALSE)</f>
        <v>10257</v>
      </c>
      <c r="F280" s="123">
        <f>VLOOKUP($A280,'Change in Proportion Calc'!$A$5:$P$319,13,FALSE)</f>
        <v>10257</v>
      </c>
      <c r="G280" s="123">
        <f>VLOOKUP($A280,'Change in Proportion Calc'!$A$5:$P$319,16,FALSE)</f>
        <v>9131</v>
      </c>
      <c r="H280" s="167"/>
      <c r="I280" s="123">
        <v>-6884</v>
      </c>
      <c r="J280" s="123">
        <v>-6884</v>
      </c>
      <c r="K280" s="123">
        <v>-6884</v>
      </c>
      <c r="L280" s="123">
        <v>-6884</v>
      </c>
      <c r="M280" s="123">
        <v>-6747</v>
      </c>
      <c r="N280" s="167"/>
      <c r="O280" s="84">
        <v>3692</v>
      </c>
      <c r="P280" s="84">
        <v>3692</v>
      </c>
      <c r="Q280" s="84">
        <v>3692</v>
      </c>
      <c r="R280" s="85">
        <v>3620</v>
      </c>
      <c r="S280" s="167"/>
      <c r="T280" s="84">
        <v>-5530</v>
      </c>
      <c r="U280" s="84">
        <v>-5530</v>
      </c>
      <c r="V280" s="85">
        <v>-3540</v>
      </c>
      <c r="X280" s="84">
        <v>-2042</v>
      </c>
      <c r="Y280" s="84">
        <v>-1472</v>
      </c>
      <c r="AA280" s="85">
        <f>VLOOKUP(A280,'Change in Proportion Calc'!$A$5:$H$319,8,FALSE)+I280+O280+T280+X280</f>
        <v>-506</v>
      </c>
      <c r="AC280" s="84">
        <f t="shared" si="12"/>
        <v>61163</v>
      </c>
      <c r="AD280" s="84">
        <f t="shared" si="13"/>
        <v>37941</v>
      </c>
      <c r="AF280" s="84">
        <f>VLOOKUP(A280,'OPEB Amounts_Report'!$A$10:$G$324,6,FALSE)</f>
        <v>50535</v>
      </c>
      <c r="AG280" s="85">
        <f t="shared" si="14"/>
        <v>10628</v>
      </c>
    </row>
    <row r="281" spans="1:33">
      <c r="A281" s="166">
        <v>2770</v>
      </c>
      <c r="B281" s="167" t="s">
        <v>267</v>
      </c>
      <c r="C281" s="123">
        <f>VLOOKUP($A281,'Change in Proportion Calc'!$A$5:$P$319,12,FALSE)</f>
        <v>87335</v>
      </c>
      <c r="D281" s="123">
        <f>VLOOKUP($A281,'Change in Proportion Calc'!$A$5:$P$319,13,FALSE)</f>
        <v>87335</v>
      </c>
      <c r="E281" s="123">
        <f>VLOOKUP($A281,'Change in Proportion Calc'!$A$5:$P$319,13,FALSE)</f>
        <v>87335</v>
      </c>
      <c r="F281" s="123">
        <f>VLOOKUP($A281,'Change in Proportion Calc'!$A$5:$P$319,13,FALSE)</f>
        <v>87335</v>
      </c>
      <c r="G281" s="123">
        <f>VLOOKUP($A281,'Change in Proportion Calc'!$A$5:$P$319,16,FALSE)</f>
        <v>77726</v>
      </c>
      <c r="H281" s="167"/>
      <c r="I281" s="123">
        <v>-54749</v>
      </c>
      <c r="J281" s="123">
        <v>-54749</v>
      </c>
      <c r="K281" s="123">
        <v>-54749</v>
      </c>
      <c r="L281" s="123">
        <v>-54749</v>
      </c>
      <c r="M281" s="123">
        <v>-53653</v>
      </c>
      <c r="N281" s="167"/>
      <c r="O281" s="84">
        <v>-109311</v>
      </c>
      <c r="P281" s="84">
        <v>-109311</v>
      </c>
      <c r="Q281" s="84">
        <v>-109311</v>
      </c>
      <c r="R281" s="85">
        <v>-107127</v>
      </c>
      <c r="S281" s="167"/>
      <c r="T281" s="84">
        <v>-72958</v>
      </c>
      <c r="U281" s="84">
        <v>-72958</v>
      </c>
      <c r="V281" s="85">
        <v>-46695</v>
      </c>
      <c r="X281" s="84">
        <v>36082</v>
      </c>
      <c r="Y281" s="84">
        <v>25980</v>
      </c>
      <c r="AA281" s="85">
        <f>VLOOKUP(A281,'Change in Proportion Calc'!$A$5:$H$319,8,FALSE)+I281+O281+T281+X281</f>
        <v>-113602</v>
      </c>
      <c r="AC281" s="84">
        <f t="shared" si="12"/>
        <v>453046</v>
      </c>
      <c r="AD281" s="84">
        <f t="shared" si="13"/>
        <v>663302</v>
      </c>
      <c r="AF281" s="84">
        <f>VLOOKUP(A281,'OPEB Amounts_Report'!$A$10:$G$324,6,FALSE)</f>
        <v>569703</v>
      </c>
      <c r="AG281" s="85">
        <f t="shared" si="14"/>
        <v>-116657</v>
      </c>
    </row>
    <row r="282" spans="1:33">
      <c r="A282" s="164">
        <v>32106</v>
      </c>
      <c r="B282" s="168" t="s">
        <v>268</v>
      </c>
      <c r="C282" s="123">
        <f>VLOOKUP($A282,'Change in Proportion Calc'!$A$5:$P$319,12,FALSE)</f>
        <v>-12275</v>
      </c>
      <c r="D282" s="123">
        <f>VLOOKUP($A282,'Change in Proportion Calc'!$A$5:$P$319,13,FALSE)</f>
        <v>-12275</v>
      </c>
      <c r="E282" s="123">
        <f>VLOOKUP($A282,'Change in Proportion Calc'!$A$5:$P$319,13,FALSE)</f>
        <v>-12275</v>
      </c>
      <c r="F282" s="123">
        <f>VLOOKUP($A282,'Change in Proportion Calc'!$A$5:$P$319,13,FALSE)</f>
        <v>-12275</v>
      </c>
      <c r="G282" s="123">
        <f>VLOOKUP($A282,'Change in Proportion Calc'!$A$5:$P$319,16,FALSE)</f>
        <v>-10927</v>
      </c>
      <c r="H282" s="167"/>
      <c r="I282" s="123">
        <v>33611</v>
      </c>
      <c r="J282" s="123">
        <v>33611</v>
      </c>
      <c r="K282" s="123">
        <v>33611</v>
      </c>
      <c r="L282" s="123">
        <v>33611</v>
      </c>
      <c r="M282" s="123">
        <v>32937</v>
      </c>
      <c r="N282" s="167"/>
      <c r="O282" s="84">
        <v>-20695</v>
      </c>
      <c r="P282" s="84">
        <v>-20695</v>
      </c>
      <c r="Q282" s="84">
        <v>-20695</v>
      </c>
      <c r="R282" s="85">
        <v>-20279</v>
      </c>
      <c r="S282" s="167"/>
      <c r="T282" s="84">
        <v>30464</v>
      </c>
      <c r="U282" s="84">
        <v>30464</v>
      </c>
      <c r="V282" s="85">
        <v>19497</v>
      </c>
      <c r="X282" s="84">
        <v>30539</v>
      </c>
      <c r="Y282" s="84">
        <v>21986</v>
      </c>
      <c r="AA282" s="85">
        <f>VLOOKUP(A282,'Change in Proportion Calc'!$A$5:$H$319,8,FALSE)+I282+O282+T282+X282</f>
        <v>61643</v>
      </c>
      <c r="AC282" s="84">
        <f t="shared" si="12"/>
        <v>205717</v>
      </c>
      <c r="AD282" s="84">
        <f t="shared" si="13"/>
        <v>121696</v>
      </c>
      <c r="AF282" s="84">
        <f>VLOOKUP(A282,'OPEB Amounts_Report'!$A$10:$G$324,6,FALSE)</f>
        <v>70996</v>
      </c>
      <c r="AG282" s="85">
        <f t="shared" si="14"/>
        <v>134721</v>
      </c>
    </row>
    <row r="283" spans="1:33">
      <c r="A283" s="166">
        <v>4180</v>
      </c>
      <c r="B283" s="167" t="s">
        <v>269</v>
      </c>
      <c r="C283" s="123">
        <f>VLOOKUP($A283,'Change in Proportion Calc'!$A$5:$P$319,12,FALSE)</f>
        <v>-12390</v>
      </c>
      <c r="D283" s="123">
        <f>VLOOKUP($A283,'Change in Proportion Calc'!$A$5:$P$319,13,FALSE)</f>
        <v>-12390</v>
      </c>
      <c r="E283" s="123">
        <f>VLOOKUP($A283,'Change in Proportion Calc'!$A$5:$P$319,13,FALSE)</f>
        <v>-12390</v>
      </c>
      <c r="F283" s="123">
        <f>VLOOKUP($A283,'Change in Proportion Calc'!$A$5:$P$319,13,FALSE)</f>
        <v>-12390</v>
      </c>
      <c r="G283" s="123">
        <f>VLOOKUP($A283,'Change in Proportion Calc'!$A$5:$P$319,16,FALSE)</f>
        <v>-11026</v>
      </c>
      <c r="H283" s="167"/>
      <c r="I283" s="123">
        <v>16846</v>
      </c>
      <c r="J283" s="123">
        <v>16846</v>
      </c>
      <c r="K283" s="123">
        <v>16846</v>
      </c>
      <c r="L283" s="123">
        <v>16846</v>
      </c>
      <c r="M283" s="123">
        <v>16508</v>
      </c>
      <c r="N283" s="167"/>
      <c r="O283" s="84">
        <v>-11077</v>
      </c>
      <c r="P283" s="84">
        <v>-11077</v>
      </c>
      <c r="Q283" s="84">
        <v>-11077</v>
      </c>
      <c r="R283" s="85">
        <v>-10856</v>
      </c>
      <c r="S283" s="167"/>
      <c r="T283" s="84">
        <v>6403</v>
      </c>
      <c r="U283" s="84">
        <v>6403</v>
      </c>
      <c r="V283" s="85">
        <v>4099</v>
      </c>
      <c r="X283" s="84">
        <v>-486</v>
      </c>
      <c r="Y283" s="84">
        <v>-352</v>
      </c>
      <c r="AA283" s="85">
        <f>VLOOKUP(A283,'Change in Proportion Calc'!$A$5:$H$319,8,FALSE)+I283+O283+T283+X283</f>
        <v>-704</v>
      </c>
      <c r="AC283" s="84">
        <f t="shared" si="12"/>
        <v>77548</v>
      </c>
      <c r="AD283" s="84">
        <f t="shared" si="13"/>
        <v>93948</v>
      </c>
      <c r="AF283" s="84">
        <f>VLOOKUP(A283,'OPEB Amounts_Report'!$A$10:$G$324,6,FALSE)</f>
        <v>69540</v>
      </c>
      <c r="AG283" s="85">
        <f t="shared" si="14"/>
        <v>8008</v>
      </c>
    </row>
    <row r="284" spans="1:33">
      <c r="A284" s="164">
        <v>21063</v>
      </c>
      <c r="B284" s="168" t="s">
        <v>270</v>
      </c>
      <c r="C284" s="123">
        <f>VLOOKUP($A284,'Change in Proportion Calc'!$A$5:$P$319,12,FALSE)</f>
        <v>8802</v>
      </c>
      <c r="D284" s="123">
        <f>VLOOKUP($A284,'Change in Proportion Calc'!$A$5:$P$319,13,FALSE)</f>
        <v>8802</v>
      </c>
      <c r="E284" s="123">
        <f>VLOOKUP($A284,'Change in Proportion Calc'!$A$5:$P$319,13,FALSE)</f>
        <v>8802</v>
      </c>
      <c r="F284" s="123">
        <f>VLOOKUP($A284,'Change in Proportion Calc'!$A$5:$P$319,13,FALSE)</f>
        <v>8802</v>
      </c>
      <c r="G284" s="123">
        <f>VLOOKUP($A284,'Change in Proportion Calc'!$A$5:$P$319,16,FALSE)</f>
        <v>7834</v>
      </c>
      <c r="H284" s="167"/>
      <c r="I284" s="123">
        <v>26564</v>
      </c>
      <c r="J284" s="123">
        <v>26564</v>
      </c>
      <c r="K284" s="123">
        <v>26564</v>
      </c>
      <c r="L284" s="123">
        <v>26564</v>
      </c>
      <c r="M284" s="123">
        <v>26035</v>
      </c>
      <c r="N284" s="167"/>
      <c r="O284" s="84">
        <v>-23786</v>
      </c>
      <c r="P284" s="84">
        <v>-23786</v>
      </c>
      <c r="Q284" s="84">
        <v>-23786</v>
      </c>
      <c r="R284" s="85">
        <v>-23309</v>
      </c>
      <c r="S284" s="167"/>
      <c r="T284" s="84">
        <v>57630</v>
      </c>
      <c r="U284" s="84">
        <v>57630</v>
      </c>
      <c r="V284" s="85">
        <v>36881</v>
      </c>
      <c r="X284" s="84">
        <v>-139757</v>
      </c>
      <c r="Y284" s="84">
        <v>-100627</v>
      </c>
      <c r="AA284" s="85">
        <f>VLOOKUP(A284,'Change in Proportion Calc'!$A$5:$H$319,8,FALSE)+I284+O284+T284+X284</f>
        <v>-70547</v>
      </c>
      <c r="AC284" s="84">
        <f t="shared" si="12"/>
        <v>243280</v>
      </c>
      <c r="AD284" s="84">
        <f t="shared" si="13"/>
        <v>171508</v>
      </c>
      <c r="AF284" s="84">
        <f>VLOOKUP(A284,'OPEB Amounts_Report'!$A$10:$G$324,6,FALSE)</f>
        <v>928578</v>
      </c>
      <c r="AG284" s="85">
        <f t="shared" si="14"/>
        <v>-685298</v>
      </c>
    </row>
    <row r="285" spans="1:33">
      <c r="A285" s="166">
        <v>10033</v>
      </c>
      <c r="B285" s="167" t="s">
        <v>271</v>
      </c>
      <c r="C285" s="123">
        <f>VLOOKUP($A285,'Change in Proportion Calc'!$A$5:$P$319,12,FALSE)</f>
        <v>-17113</v>
      </c>
      <c r="D285" s="123">
        <f>VLOOKUP($A285,'Change in Proportion Calc'!$A$5:$P$319,13,FALSE)</f>
        <v>-17113</v>
      </c>
      <c r="E285" s="123">
        <f>VLOOKUP($A285,'Change in Proportion Calc'!$A$5:$P$319,13,FALSE)</f>
        <v>-17113</v>
      </c>
      <c r="F285" s="123">
        <f>VLOOKUP($A285,'Change in Proportion Calc'!$A$5:$P$319,13,FALSE)</f>
        <v>-17113</v>
      </c>
      <c r="G285" s="123">
        <f>VLOOKUP($A285,'Change in Proportion Calc'!$A$5:$P$319,16,FALSE)</f>
        <v>-15233</v>
      </c>
      <c r="H285" s="167"/>
      <c r="I285" s="123">
        <v>26079</v>
      </c>
      <c r="J285" s="123">
        <v>26079</v>
      </c>
      <c r="K285" s="123">
        <v>26079</v>
      </c>
      <c r="L285" s="123">
        <v>26079</v>
      </c>
      <c r="M285" s="123">
        <v>25555</v>
      </c>
      <c r="N285" s="167"/>
      <c r="O285" s="84">
        <v>-21553</v>
      </c>
      <c r="P285" s="84">
        <v>-21553</v>
      </c>
      <c r="Q285" s="84">
        <v>-21553</v>
      </c>
      <c r="R285" s="85">
        <v>-21123</v>
      </c>
      <c r="S285" s="167"/>
      <c r="T285" s="84">
        <v>-25807</v>
      </c>
      <c r="U285" s="84">
        <v>-25807</v>
      </c>
      <c r="V285" s="85">
        <v>-16517</v>
      </c>
      <c r="X285" s="84">
        <v>-1264</v>
      </c>
      <c r="Y285" s="84">
        <v>-912</v>
      </c>
      <c r="AA285" s="85">
        <f>VLOOKUP(A285,'Change in Proportion Calc'!$A$5:$H$319,8,FALSE)+I285+O285+T285+X285</f>
        <v>-39659</v>
      </c>
      <c r="AC285" s="84">
        <f t="shared" si="12"/>
        <v>103792</v>
      </c>
      <c r="AD285" s="84">
        <f t="shared" si="13"/>
        <v>191150</v>
      </c>
      <c r="AF285" s="84">
        <f>VLOOKUP(A285,'OPEB Amounts_Report'!$A$10:$G$324,6,FALSE)</f>
        <v>642471</v>
      </c>
      <c r="AG285" s="85">
        <f t="shared" si="14"/>
        <v>-538679</v>
      </c>
    </row>
    <row r="286" spans="1:33">
      <c r="A286" s="164">
        <v>15049</v>
      </c>
      <c r="B286" s="168" t="s">
        <v>272</v>
      </c>
      <c r="C286" s="123">
        <f>VLOOKUP($A286,'Change in Proportion Calc'!$A$5:$P$319,12,FALSE)</f>
        <v>29231</v>
      </c>
      <c r="D286" s="123">
        <f>VLOOKUP($A286,'Change in Proportion Calc'!$A$5:$P$319,13,FALSE)</f>
        <v>29231</v>
      </c>
      <c r="E286" s="123">
        <f>VLOOKUP($A286,'Change in Proportion Calc'!$A$5:$P$319,13,FALSE)</f>
        <v>29231</v>
      </c>
      <c r="F286" s="123">
        <f>VLOOKUP($A286,'Change in Proportion Calc'!$A$5:$P$319,13,FALSE)</f>
        <v>29231</v>
      </c>
      <c r="G286" s="123">
        <f>VLOOKUP($A286,'Change in Proportion Calc'!$A$5:$P$319,16,FALSE)</f>
        <v>26018</v>
      </c>
      <c r="H286" s="167"/>
      <c r="I286" s="123">
        <v>-1863</v>
      </c>
      <c r="J286" s="123">
        <v>-1863</v>
      </c>
      <c r="K286" s="123">
        <v>-1863</v>
      </c>
      <c r="L286" s="123">
        <v>-1863</v>
      </c>
      <c r="M286" s="123">
        <v>-1824</v>
      </c>
      <c r="N286" s="167"/>
      <c r="O286" s="84">
        <v>-14855</v>
      </c>
      <c r="P286" s="84">
        <v>-14855</v>
      </c>
      <c r="Q286" s="84">
        <v>-14855</v>
      </c>
      <c r="R286" s="85">
        <v>-14560</v>
      </c>
      <c r="S286" s="167"/>
      <c r="T286" s="84">
        <v>-5336</v>
      </c>
      <c r="U286" s="84">
        <v>-5336</v>
      </c>
      <c r="V286" s="85">
        <v>-3415</v>
      </c>
      <c r="X286" s="84">
        <v>-49795</v>
      </c>
      <c r="Y286" s="84">
        <v>-35854</v>
      </c>
      <c r="AA286" s="85">
        <f>VLOOKUP(A286,'Change in Proportion Calc'!$A$5:$H$319,8,FALSE)+I286+O286+T286+X286</f>
        <v>-42617</v>
      </c>
      <c r="AC286" s="84">
        <f t="shared" si="12"/>
        <v>142942</v>
      </c>
      <c r="AD286" s="84">
        <f t="shared" si="13"/>
        <v>96288</v>
      </c>
      <c r="AF286" s="84">
        <f>VLOOKUP(A286,'OPEB Amounts_Report'!$A$10:$G$324,6,FALSE)</f>
        <v>671696</v>
      </c>
      <c r="AG286" s="85">
        <f t="shared" si="14"/>
        <v>-528754</v>
      </c>
    </row>
    <row r="287" spans="1:33">
      <c r="A287" s="166">
        <v>1315</v>
      </c>
      <c r="B287" s="167" t="s">
        <v>273</v>
      </c>
      <c r="C287" s="123">
        <f>VLOOKUP($A287,'Change in Proportion Calc'!$A$5:$P$319,12,FALSE)</f>
        <v>92431</v>
      </c>
      <c r="D287" s="123">
        <f>VLOOKUP($A287,'Change in Proportion Calc'!$A$5:$P$319,13,FALSE)</f>
        <v>92431</v>
      </c>
      <c r="E287" s="123">
        <f>VLOOKUP($A287,'Change in Proportion Calc'!$A$5:$P$319,13,FALSE)</f>
        <v>92431</v>
      </c>
      <c r="F287" s="123">
        <f>VLOOKUP($A287,'Change in Proportion Calc'!$A$5:$P$319,13,FALSE)</f>
        <v>92431</v>
      </c>
      <c r="G287" s="123">
        <f>VLOOKUP($A287,'Change in Proportion Calc'!$A$5:$P$319,16,FALSE)</f>
        <v>82266</v>
      </c>
      <c r="H287" s="167"/>
      <c r="I287" s="123">
        <v>35554</v>
      </c>
      <c r="J287" s="123">
        <v>35554</v>
      </c>
      <c r="K287" s="123">
        <v>35554</v>
      </c>
      <c r="L287" s="123">
        <v>35554</v>
      </c>
      <c r="M287" s="123">
        <v>34845</v>
      </c>
      <c r="N287" s="167"/>
      <c r="O287" s="84">
        <v>64831</v>
      </c>
      <c r="P287" s="84">
        <v>64831</v>
      </c>
      <c r="Q287" s="84">
        <v>64831</v>
      </c>
      <c r="R287" s="85">
        <v>63535</v>
      </c>
      <c r="S287" s="167"/>
      <c r="T287" s="84">
        <v>96340</v>
      </c>
      <c r="U287" s="84">
        <v>96340</v>
      </c>
      <c r="V287" s="85">
        <v>61659</v>
      </c>
      <c r="X287" s="84">
        <v>27426</v>
      </c>
      <c r="Y287" s="84">
        <v>19749</v>
      </c>
      <c r="AA287" s="85">
        <f>VLOOKUP(A287,'Change in Proportion Calc'!$A$5:$H$319,8,FALSE)+I287+O287+T287+X287</f>
        <v>316582</v>
      </c>
      <c r="AC287" s="84">
        <f t="shared" si="12"/>
        <v>964442</v>
      </c>
      <c r="AD287" s="84">
        <f t="shared" si="13"/>
        <v>0</v>
      </c>
      <c r="AF287" s="84">
        <f>VLOOKUP(A287,'OPEB Amounts_Report'!$A$10:$G$324,6,FALSE)</f>
        <v>438864</v>
      </c>
      <c r="AG287" s="85">
        <f t="shared" si="14"/>
        <v>525578</v>
      </c>
    </row>
    <row r="288" spans="1:33">
      <c r="A288" s="164">
        <v>3340</v>
      </c>
      <c r="B288" s="168" t="s">
        <v>274</v>
      </c>
      <c r="C288" s="123">
        <f>VLOOKUP($A288,'Change in Proportion Calc'!$A$5:$P$319,12,FALSE)</f>
        <v>3991</v>
      </c>
      <c r="D288" s="123">
        <f>VLOOKUP($A288,'Change in Proportion Calc'!$A$5:$P$319,13,FALSE)</f>
        <v>3991</v>
      </c>
      <c r="E288" s="123">
        <f>VLOOKUP($A288,'Change in Proportion Calc'!$A$5:$P$319,13,FALSE)</f>
        <v>3991</v>
      </c>
      <c r="F288" s="123">
        <f>VLOOKUP($A288,'Change in Proportion Calc'!$A$5:$P$319,13,FALSE)</f>
        <v>3991</v>
      </c>
      <c r="G288" s="123">
        <f>VLOOKUP($A288,'Change in Proportion Calc'!$A$5:$P$319,16,FALSE)</f>
        <v>3550</v>
      </c>
      <c r="H288" s="167"/>
      <c r="I288" s="123">
        <v>19113</v>
      </c>
      <c r="J288" s="123">
        <v>19113</v>
      </c>
      <c r="K288" s="123">
        <v>19113</v>
      </c>
      <c r="L288" s="123">
        <v>19113</v>
      </c>
      <c r="M288" s="123">
        <v>18733</v>
      </c>
      <c r="N288" s="167"/>
      <c r="O288" s="84">
        <v>-35979</v>
      </c>
      <c r="P288" s="84">
        <v>-35979</v>
      </c>
      <c r="Q288" s="84">
        <v>-35979</v>
      </c>
      <c r="R288" s="85">
        <v>-35260</v>
      </c>
      <c r="S288" s="167"/>
      <c r="T288" s="84">
        <v>6888</v>
      </c>
      <c r="U288" s="84">
        <v>6888</v>
      </c>
      <c r="V288" s="85">
        <v>4410</v>
      </c>
      <c r="X288" s="84">
        <v>-10018</v>
      </c>
      <c r="Y288" s="84">
        <v>-7211</v>
      </c>
      <c r="AA288" s="85">
        <f>VLOOKUP(A288,'Change in Proportion Calc'!$A$5:$H$319,8,FALSE)+I288+O288+T288+X288</f>
        <v>-16005</v>
      </c>
      <c r="AC288" s="84">
        <f t="shared" si="12"/>
        <v>106884</v>
      </c>
      <c r="AD288" s="84">
        <f t="shared" si="13"/>
        <v>114429</v>
      </c>
      <c r="AF288" s="84">
        <f>VLOOKUP(A288,'OPEB Amounts_Report'!$A$10:$G$324,6,FALSE)</f>
        <v>171377</v>
      </c>
      <c r="AG288" s="85">
        <f t="shared" si="14"/>
        <v>-64493</v>
      </c>
    </row>
    <row r="289" spans="1:33">
      <c r="A289" s="166">
        <v>3350</v>
      </c>
      <c r="B289" s="167" t="s">
        <v>275</v>
      </c>
      <c r="C289" s="123">
        <f>VLOOKUP($A289,'Change in Proportion Calc'!$A$5:$P$319,12,FALSE)</f>
        <v>315731</v>
      </c>
      <c r="D289" s="123">
        <f>VLOOKUP($A289,'Change in Proportion Calc'!$A$5:$P$319,13,FALSE)</f>
        <v>315731</v>
      </c>
      <c r="E289" s="123">
        <f>VLOOKUP($A289,'Change in Proportion Calc'!$A$5:$P$319,13,FALSE)</f>
        <v>315731</v>
      </c>
      <c r="F289" s="123">
        <f>VLOOKUP($A289,'Change in Proportion Calc'!$A$5:$P$319,13,FALSE)</f>
        <v>315731</v>
      </c>
      <c r="G289" s="123">
        <f>VLOOKUP($A289,'Change in Proportion Calc'!$A$5:$P$319,16,FALSE)</f>
        <v>281003</v>
      </c>
      <c r="H289" s="167"/>
      <c r="I289" s="123">
        <v>-293344</v>
      </c>
      <c r="J289" s="123">
        <v>-293344</v>
      </c>
      <c r="K289" s="123">
        <v>-293344</v>
      </c>
      <c r="L289" s="123">
        <v>-293344</v>
      </c>
      <c r="M289" s="123">
        <v>-287476</v>
      </c>
      <c r="N289" s="167"/>
      <c r="O289" s="84">
        <v>-22755</v>
      </c>
      <c r="P289" s="84">
        <v>-22755</v>
      </c>
      <c r="Q289" s="84">
        <v>-22755</v>
      </c>
      <c r="R289" s="85">
        <v>-22302</v>
      </c>
      <c r="S289" s="167"/>
      <c r="T289" s="84">
        <v>-224503</v>
      </c>
      <c r="U289" s="84">
        <v>-224503</v>
      </c>
      <c r="V289" s="85">
        <v>-143680</v>
      </c>
      <c r="X289" s="84">
        <v>26746</v>
      </c>
      <c r="Y289" s="84">
        <v>19255</v>
      </c>
      <c r="AA289" s="85">
        <f>VLOOKUP(A289,'Change in Proportion Calc'!$A$5:$H$319,8,FALSE)+I289+O289+T289+X289</f>
        <v>-198124</v>
      </c>
      <c r="AC289" s="84">
        <f t="shared" si="12"/>
        <v>1563182</v>
      </c>
      <c r="AD289" s="84">
        <f t="shared" si="13"/>
        <v>1603503</v>
      </c>
      <c r="AF289" s="84">
        <f>VLOOKUP(A289,'OPEB Amounts_Report'!$A$10:$G$324,6,FALSE)</f>
        <v>1048536</v>
      </c>
      <c r="AG289" s="85">
        <f t="shared" si="14"/>
        <v>514646</v>
      </c>
    </row>
    <row r="290" spans="1:33">
      <c r="A290" s="164">
        <v>24073</v>
      </c>
      <c r="B290" s="168" t="s">
        <v>276</v>
      </c>
      <c r="C290" s="123">
        <f>VLOOKUP($A290,'Change in Proportion Calc'!$A$5:$P$319,12,FALSE)</f>
        <v>-13988</v>
      </c>
      <c r="D290" s="123">
        <f>VLOOKUP($A290,'Change in Proportion Calc'!$A$5:$P$319,13,FALSE)</f>
        <v>-13988</v>
      </c>
      <c r="E290" s="123">
        <f>VLOOKUP($A290,'Change in Proportion Calc'!$A$5:$P$319,13,FALSE)</f>
        <v>-13988</v>
      </c>
      <c r="F290" s="123">
        <f>VLOOKUP($A290,'Change in Proportion Calc'!$A$5:$P$319,13,FALSE)</f>
        <v>-13988</v>
      </c>
      <c r="G290" s="123">
        <f>VLOOKUP($A290,'Change in Proportion Calc'!$A$5:$P$319,16,FALSE)</f>
        <v>-12451</v>
      </c>
      <c r="H290" s="167"/>
      <c r="I290" s="123">
        <v>11339</v>
      </c>
      <c r="J290" s="123">
        <v>11339</v>
      </c>
      <c r="K290" s="123">
        <v>11339</v>
      </c>
      <c r="L290" s="123">
        <v>11339</v>
      </c>
      <c r="M290" s="123">
        <v>11110</v>
      </c>
      <c r="N290" s="167"/>
      <c r="O290" s="84">
        <v>1374</v>
      </c>
      <c r="P290" s="84">
        <v>1374</v>
      </c>
      <c r="Q290" s="84">
        <v>1374</v>
      </c>
      <c r="R290" s="85">
        <v>1346</v>
      </c>
      <c r="S290" s="167"/>
      <c r="T290" s="84">
        <v>8926</v>
      </c>
      <c r="U290" s="84">
        <v>8926</v>
      </c>
      <c r="V290" s="85">
        <v>5711</v>
      </c>
      <c r="X290" s="84">
        <v>-18187</v>
      </c>
      <c r="Y290" s="84">
        <v>-13094</v>
      </c>
      <c r="AA290" s="85">
        <f>VLOOKUP(A290,'Change in Proportion Calc'!$A$5:$H$319,8,FALSE)+I290+O290+T290+X290</f>
        <v>-10536</v>
      </c>
      <c r="AC290" s="84">
        <f t="shared" si="12"/>
        <v>63858</v>
      </c>
      <c r="AD290" s="84">
        <f t="shared" si="13"/>
        <v>81497</v>
      </c>
      <c r="AF290" s="84">
        <f>VLOOKUP(A290,'OPEB Amounts_Report'!$A$10:$G$324,6,FALSE)</f>
        <v>108237</v>
      </c>
      <c r="AG290" s="85">
        <f t="shared" si="14"/>
        <v>-44379</v>
      </c>
    </row>
    <row r="291" spans="1:33">
      <c r="A291" s="209">
        <v>2100</v>
      </c>
      <c r="B291" s="210" t="s">
        <v>277</v>
      </c>
      <c r="C291" s="123">
        <f>VLOOKUP($A291,'Change in Proportion Calc'!$A$5:$P$319,12,FALSE)</f>
        <v>1945</v>
      </c>
      <c r="D291" s="123">
        <f>VLOOKUP($A291,'Change in Proportion Calc'!$A$5:$P$319,13,FALSE)</f>
        <v>1945</v>
      </c>
      <c r="E291" s="123">
        <f>VLOOKUP($A291,'Change in Proportion Calc'!$A$5:$P$319,13,FALSE)</f>
        <v>1945</v>
      </c>
      <c r="F291" s="123">
        <f>VLOOKUP($A291,'Change in Proportion Calc'!$A$5:$P$319,13,FALSE)</f>
        <v>1945</v>
      </c>
      <c r="G291" s="123">
        <f>VLOOKUP($A291,'Change in Proportion Calc'!$A$5:$P$319,16,FALSE)</f>
        <v>1732</v>
      </c>
      <c r="H291" s="167"/>
      <c r="I291" s="123">
        <v>-6398</v>
      </c>
      <c r="J291" s="123">
        <v>-6398</v>
      </c>
      <c r="K291" s="123">
        <v>-6398</v>
      </c>
      <c r="L291" s="123">
        <v>-6398</v>
      </c>
      <c r="M291" s="123">
        <v>-6271</v>
      </c>
      <c r="N291" s="167"/>
      <c r="O291" s="84">
        <v>7213</v>
      </c>
      <c r="P291" s="84">
        <v>7213</v>
      </c>
      <c r="Q291" s="84">
        <v>7213</v>
      </c>
      <c r="R291" s="85">
        <v>7069</v>
      </c>
      <c r="S291" s="167"/>
      <c r="T291" s="84">
        <v>-12806</v>
      </c>
      <c r="U291" s="84">
        <v>-12806</v>
      </c>
      <c r="V291" s="85">
        <v>-8198</v>
      </c>
      <c r="X291" s="84">
        <v>9823</v>
      </c>
      <c r="Y291" s="84">
        <v>7072</v>
      </c>
      <c r="AA291" s="85">
        <f>VLOOKUP(A291,'Change in Proportion Calc'!$A$5:$H$319,8,FALSE)+I291+O291+T291+X291</f>
        <v>-223</v>
      </c>
      <c r="AC291" s="84">
        <f t="shared" si="12"/>
        <v>38079</v>
      </c>
      <c r="AD291" s="84">
        <f t="shared" si="13"/>
        <v>46469</v>
      </c>
      <c r="AF291" s="84">
        <f>VLOOKUP(A291,'OPEB Amounts_Report'!$A$10:$G$324,6,FALSE)</f>
        <v>143784</v>
      </c>
      <c r="AG291" s="85">
        <f t="shared" si="14"/>
        <v>-105705</v>
      </c>
    </row>
    <row r="292" spans="1:33">
      <c r="A292" s="164">
        <v>2130</v>
      </c>
      <c r="B292" s="168" t="s">
        <v>278</v>
      </c>
      <c r="C292" s="123">
        <f>VLOOKUP($A292,'Change in Proportion Calc'!$A$5:$P$319,12,FALSE)</f>
        <v>-5002</v>
      </c>
      <c r="D292" s="123">
        <f>VLOOKUP($A292,'Change in Proportion Calc'!$A$5:$P$319,13,FALSE)</f>
        <v>-5002</v>
      </c>
      <c r="E292" s="123">
        <f>VLOOKUP($A292,'Change in Proportion Calc'!$A$5:$P$319,13,FALSE)</f>
        <v>-5002</v>
      </c>
      <c r="F292" s="123">
        <f>VLOOKUP($A292,'Change in Proportion Calc'!$A$5:$P$319,13,FALSE)</f>
        <v>-5002</v>
      </c>
      <c r="G292" s="123">
        <f>VLOOKUP($A292,'Change in Proportion Calc'!$A$5:$P$319,16,FALSE)</f>
        <v>-4453</v>
      </c>
      <c r="H292" s="167"/>
      <c r="I292" s="123">
        <v>2592</v>
      </c>
      <c r="J292" s="123">
        <v>2592</v>
      </c>
      <c r="K292" s="123">
        <v>2592</v>
      </c>
      <c r="L292" s="123">
        <v>2592</v>
      </c>
      <c r="M292" s="123">
        <v>2538</v>
      </c>
      <c r="N292" s="167"/>
      <c r="O292" s="84">
        <v>-6526</v>
      </c>
      <c r="P292" s="84">
        <v>-6526</v>
      </c>
      <c r="Q292" s="84">
        <v>-6526</v>
      </c>
      <c r="R292" s="85">
        <v>-6396</v>
      </c>
      <c r="S292" s="167"/>
      <c r="T292" s="84">
        <v>-12128</v>
      </c>
      <c r="U292" s="84">
        <v>-12128</v>
      </c>
      <c r="V292" s="85">
        <v>-7760</v>
      </c>
      <c r="X292" s="84">
        <v>14783</v>
      </c>
      <c r="Y292" s="84">
        <v>10644</v>
      </c>
      <c r="AA292" s="85">
        <f>VLOOKUP(A292,'Change in Proportion Calc'!$A$5:$H$319,8,FALSE)+I292+O292+T292+X292</f>
        <v>-6281</v>
      </c>
      <c r="AC292" s="84">
        <f t="shared" si="12"/>
        <v>20958</v>
      </c>
      <c r="AD292" s="84">
        <f t="shared" si="13"/>
        <v>63797</v>
      </c>
      <c r="AF292" s="84">
        <f>VLOOKUP(A292,'OPEB Amounts_Report'!$A$10:$G$324,6,FALSE)</f>
        <v>43500</v>
      </c>
      <c r="AG292" s="85">
        <f t="shared" si="14"/>
        <v>-22542</v>
      </c>
    </row>
    <row r="293" spans="1:33">
      <c r="A293" s="166">
        <v>32099</v>
      </c>
      <c r="B293" s="167" t="s">
        <v>279</v>
      </c>
      <c r="C293" s="123">
        <f>VLOOKUP($A293,'Change in Proportion Calc'!$A$5:$P$319,12,FALSE)</f>
        <v>7481</v>
      </c>
      <c r="D293" s="123">
        <f>VLOOKUP($A293,'Change in Proportion Calc'!$A$5:$P$319,13,FALSE)</f>
        <v>7481</v>
      </c>
      <c r="E293" s="123">
        <f>VLOOKUP($A293,'Change in Proportion Calc'!$A$5:$P$319,13,FALSE)</f>
        <v>7481</v>
      </c>
      <c r="F293" s="123">
        <f>VLOOKUP($A293,'Change in Proportion Calc'!$A$5:$P$319,13,FALSE)</f>
        <v>7481</v>
      </c>
      <c r="G293" s="123">
        <f>VLOOKUP($A293,'Change in Proportion Calc'!$A$5:$P$319,16,FALSE)</f>
        <v>6656</v>
      </c>
      <c r="H293" s="167"/>
      <c r="I293" s="123">
        <v>1944</v>
      </c>
      <c r="J293" s="123">
        <v>1944</v>
      </c>
      <c r="K293" s="123">
        <v>1944</v>
      </c>
      <c r="L293" s="123">
        <v>1944</v>
      </c>
      <c r="M293" s="123">
        <v>1904</v>
      </c>
      <c r="N293" s="167"/>
      <c r="O293" s="84">
        <v>-17775</v>
      </c>
      <c r="P293" s="84">
        <v>-17775</v>
      </c>
      <c r="Q293" s="84">
        <v>-17775</v>
      </c>
      <c r="R293" s="85">
        <v>-17419</v>
      </c>
      <c r="S293" s="167"/>
      <c r="T293" s="84">
        <v>-2522</v>
      </c>
      <c r="U293" s="84">
        <v>-2522</v>
      </c>
      <c r="V293" s="85">
        <v>-1616</v>
      </c>
      <c r="X293" s="84">
        <v>-5446</v>
      </c>
      <c r="Y293" s="84">
        <v>-3923</v>
      </c>
      <c r="AA293" s="85">
        <f>VLOOKUP(A293,'Change in Proportion Calc'!$A$5:$H$319,8,FALSE)+I293+O293+T293+X293</f>
        <v>-16319</v>
      </c>
      <c r="AC293" s="84">
        <f t="shared" si="12"/>
        <v>44316</v>
      </c>
      <c r="AD293" s="84">
        <f t="shared" si="13"/>
        <v>61030</v>
      </c>
      <c r="AF293" s="84">
        <f>VLOOKUP(A293,'OPEB Amounts_Report'!$A$10:$G$324,6,FALSE)</f>
        <v>51905</v>
      </c>
      <c r="AG293" s="85">
        <f t="shared" si="14"/>
        <v>-7589</v>
      </c>
    </row>
    <row r="294" spans="1:33">
      <c r="A294" s="164">
        <v>32100</v>
      </c>
      <c r="B294" s="168" t="s">
        <v>280</v>
      </c>
      <c r="C294" s="123">
        <f>VLOOKUP($A294,'Change in Proportion Calc'!$A$5:$P$319,12,FALSE)</f>
        <v>9084</v>
      </c>
      <c r="D294" s="123">
        <f>VLOOKUP($A294,'Change in Proportion Calc'!$A$5:$P$319,13,FALSE)</f>
        <v>9084</v>
      </c>
      <c r="E294" s="123">
        <f>VLOOKUP($A294,'Change in Proportion Calc'!$A$5:$P$319,13,FALSE)</f>
        <v>9084</v>
      </c>
      <c r="F294" s="123">
        <f>VLOOKUP($A294,'Change in Proportion Calc'!$A$5:$P$319,13,FALSE)</f>
        <v>9084</v>
      </c>
      <c r="G294" s="123">
        <f>VLOOKUP($A294,'Change in Proportion Calc'!$A$5:$P$319,16,FALSE)</f>
        <v>8084</v>
      </c>
      <c r="H294" s="167"/>
      <c r="I294" s="123">
        <v>10934</v>
      </c>
      <c r="J294" s="123">
        <v>10934</v>
      </c>
      <c r="K294" s="123">
        <v>10934</v>
      </c>
      <c r="L294" s="123">
        <v>10934</v>
      </c>
      <c r="M294" s="123">
        <v>10713</v>
      </c>
      <c r="N294" s="167"/>
      <c r="O294" s="84">
        <v>-16143</v>
      </c>
      <c r="P294" s="84">
        <v>-16143</v>
      </c>
      <c r="Q294" s="84">
        <v>-16143</v>
      </c>
      <c r="R294" s="85">
        <v>-15822</v>
      </c>
      <c r="S294" s="167"/>
      <c r="T294" s="84">
        <v>3008</v>
      </c>
      <c r="U294" s="84">
        <v>3008</v>
      </c>
      <c r="V294" s="85">
        <v>1923</v>
      </c>
      <c r="X294" s="84">
        <v>25189</v>
      </c>
      <c r="Y294" s="84">
        <v>18138</v>
      </c>
      <c r="AA294" s="85">
        <f>VLOOKUP(A294,'Change in Proportion Calc'!$A$5:$H$319,8,FALSE)+I294+O294+T294+X294</f>
        <v>32072</v>
      </c>
      <c r="AC294" s="84">
        <f t="shared" si="12"/>
        <v>111004</v>
      </c>
      <c r="AD294" s="84">
        <f t="shared" si="13"/>
        <v>48108</v>
      </c>
      <c r="AF294" s="84">
        <f>VLOOKUP(A294,'OPEB Amounts_Report'!$A$10:$G$324,6,FALSE)</f>
        <v>110082</v>
      </c>
      <c r="AG294" s="85">
        <f t="shared" si="14"/>
        <v>922</v>
      </c>
    </row>
    <row r="295" spans="1:33">
      <c r="A295" s="166">
        <v>32101</v>
      </c>
      <c r="B295" s="167" t="s">
        <v>281</v>
      </c>
      <c r="C295" s="123">
        <f>VLOOKUP($A295,'Change in Proportion Calc'!$A$5:$P$319,12,FALSE)</f>
        <v>39790</v>
      </c>
      <c r="D295" s="123">
        <f>VLOOKUP($A295,'Change in Proportion Calc'!$A$5:$P$319,13,FALSE)</f>
        <v>39790</v>
      </c>
      <c r="E295" s="123">
        <f>VLOOKUP($A295,'Change in Proportion Calc'!$A$5:$P$319,13,FALSE)</f>
        <v>39790</v>
      </c>
      <c r="F295" s="123">
        <f>VLOOKUP($A295,'Change in Proportion Calc'!$A$5:$P$319,13,FALSE)</f>
        <v>39790</v>
      </c>
      <c r="G295" s="123">
        <f>VLOOKUP($A295,'Change in Proportion Calc'!$A$5:$P$319,16,FALSE)</f>
        <v>35411</v>
      </c>
      <c r="H295" s="167"/>
      <c r="I295" s="123">
        <v>-45354</v>
      </c>
      <c r="J295" s="123">
        <v>-45354</v>
      </c>
      <c r="K295" s="123">
        <v>-45354</v>
      </c>
      <c r="L295" s="123">
        <v>-45354</v>
      </c>
      <c r="M295" s="123">
        <v>-44447</v>
      </c>
      <c r="N295" s="167"/>
      <c r="O295" s="84">
        <v>-429</v>
      </c>
      <c r="P295" s="84">
        <v>-429</v>
      </c>
      <c r="Q295" s="84">
        <v>-429</v>
      </c>
      <c r="R295" s="85">
        <v>-422</v>
      </c>
      <c r="S295" s="167"/>
      <c r="T295" s="84">
        <v>5433</v>
      </c>
      <c r="U295" s="84">
        <v>5433</v>
      </c>
      <c r="V295" s="85">
        <v>3478</v>
      </c>
      <c r="X295" s="84">
        <v>-6711</v>
      </c>
      <c r="Y295" s="84">
        <v>-4830</v>
      </c>
      <c r="AA295" s="85">
        <f>VLOOKUP(A295,'Change in Proportion Calc'!$A$5:$H$319,8,FALSE)+I295+O295+T295+X295</f>
        <v>-7272</v>
      </c>
      <c r="AC295" s="84">
        <f t="shared" si="12"/>
        <v>203482</v>
      </c>
      <c r="AD295" s="84">
        <f t="shared" si="13"/>
        <v>186619</v>
      </c>
      <c r="AF295" s="84">
        <f>VLOOKUP(A295,'OPEB Amounts_Report'!$A$10:$G$324,6,FALSE)</f>
        <v>31449</v>
      </c>
      <c r="AG295" s="85">
        <f t="shared" si="14"/>
        <v>172033</v>
      </c>
    </row>
    <row r="296" spans="1:33">
      <c r="A296" s="164">
        <v>32102</v>
      </c>
      <c r="B296" s="168" t="s">
        <v>282</v>
      </c>
      <c r="C296" s="123">
        <f>VLOOKUP($A296,'Change in Proportion Calc'!$A$5:$P$319,12,FALSE)</f>
        <v>-4464</v>
      </c>
      <c r="D296" s="123">
        <f>VLOOKUP($A296,'Change in Proportion Calc'!$A$5:$P$319,13,FALSE)</f>
        <v>-4464</v>
      </c>
      <c r="E296" s="123">
        <f>VLOOKUP($A296,'Change in Proportion Calc'!$A$5:$P$319,13,FALSE)</f>
        <v>-4464</v>
      </c>
      <c r="F296" s="123">
        <f>VLOOKUP($A296,'Change in Proportion Calc'!$A$5:$P$319,13,FALSE)</f>
        <v>-4464</v>
      </c>
      <c r="G296" s="123">
        <f>VLOOKUP($A296,'Change in Proportion Calc'!$A$5:$P$319,16,FALSE)</f>
        <v>-3973</v>
      </c>
      <c r="H296" s="167"/>
      <c r="I296" s="123">
        <v>3888</v>
      </c>
      <c r="J296" s="123">
        <v>3888</v>
      </c>
      <c r="K296" s="123">
        <v>3888</v>
      </c>
      <c r="L296" s="123">
        <v>3888</v>
      </c>
      <c r="M296" s="123">
        <v>3808</v>
      </c>
      <c r="N296" s="167"/>
      <c r="O296" s="84">
        <v>-3349</v>
      </c>
      <c r="P296" s="84">
        <v>-3349</v>
      </c>
      <c r="Q296" s="84">
        <v>-3349</v>
      </c>
      <c r="R296" s="85">
        <v>-3281</v>
      </c>
      <c r="S296" s="167"/>
      <c r="T296" s="84">
        <v>7761</v>
      </c>
      <c r="U296" s="84">
        <v>7761</v>
      </c>
      <c r="V296" s="85">
        <v>4969</v>
      </c>
      <c r="X296" s="84">
        <v>-14783</v>
      </c>
      <c r="Y296" s="84">
        <v>-10644</v>
      </c>
      <c r="AA296" s="85">
        <f>VLOOKUP(A296,'Change in Proportion Calc'!$A$5:$H$319,8,FALSE)+I296+O296+T296+X296</f>
        <v>-10947</v>
      </c>
      <c r="AC296" s="84">
        <f t="shared" si="12"/>
        <v>28202</v>
      </c>
      <c r="AD296" s="84">
        <f t="shared" si="13"/>
        <v>42452</v>
      </c>
      <c r="AF296" s="84">
        <f>VLOOKUP(A296,'OPEB Amounts_Report'!$A$10:$G$324,6,FALSE)</f>
        <v>58998</v>
      </c>
      <c r="AG296" s="85">
        <f t="shared" si="14"/>
        <v>-30796</v>
      </c>
    </row>
    <row r="297" spans="1:33">
      <c r="A297" s="166">
        <v>2880</v>
      </c>
      <c r="B297" s="167" t="s">
        <v>283</v>
      </c>
      <c r="C297" s="123">
        <f>VLOOKUP($A297,'Change in Proportion Calc'!$A$5:$P$319,12,FALSE)</f>
        <v>-4847</v>
      </c>
      <c r="D297" s="123">
        <f>VLOOKUP($A297,'Change in Proportion Calc'!$A$5:$P$319,13,FALSE)</f>
        <v>-4847</v>
      </c>
      <c r="E297" s="123">
        <f>VLOOKUP($A297,'Change in Proportion Calc'!$A$5:$P$319,13,FALSE)</f>
        <v>-4847</v>
      </c>
      <c r="F297" s="123">
        <f>VLOOKUP($A297,'Change in Proportion Calc'!$A$5:$P$319,13,FALSE)</f>
        <v>-4847</v>
      </c>
      <c r="G297" s="123">
        <f>VLOOKUP($A297,'Change in Proportion Calc'!$A$5:$P$319,16,FALSE)</f>
        <v>-4316</v>
      </c>
      <c r="H297" s="167"/>
      <c r="I297" s="123">
        <v>5426</v>
      </c>
      <c r="J297" s="123">
        <v>5426</v>
      </c>
      <c r="K297" s="123">
        <v>5426</v>
      </c>
      <c r="L297" s="123">
        <v>5426</v>
      </c>
      <c r="M297" s="123">
        <v>5319</v>
      </c>
      <c r="N297" s="167"/>
      <c r="O297" s="84">
        <v>-172</v>
      </c>
      <c r="P297" s="84">
        <v>-172</v>
      </c>
      <c r="Q297" s="84">
        <v>-172</v>
      </c>
      <c r="R297" s="85">
        <v>-167</v>
      </c>
      <c r="S297" s="167"/>
      <c r="T297" s="84">
        <v>-5045</v>
      </c>
      <c r="U297" s="84">
        <v>-5045</v>
      </c>
      <c r="V297" s="85">
        <v>-3229</v>
      </c>
      <c r="X297" s="84">
        <v>5349</v>
      </c>
      <c r="Y297" s="84">
        <v>3852</v>
      </c>
      <c r="AA297" s="85">
        <f>VLOOKUP(A297,'Change in Proportion Calc'!$A$5:$H$319,8,FALSE)+I297+O297+T297+X297</f>
        <v>710</v>
      </c>
      <c r="AC297" s="84">
        <f t="shared" si="12"/>
        <v>25449</v>
      </c>
      <c r="AD297" s="84">
        <f t="shared" si="13"/>
        <v>32489</v>
      </c>
      <c r="AF297" s="84">
        <f>VLOOKUP(A297,'OPEB Amounts_Report'!$A$10:$G$324,6,FALSE)</f>
        <v>17756</v>
      </c>
      <c r="AG297" s="85">
        <f t="shared" si="14"/>
        <v>7693</v>
      </c>
    </row>
    <row r="298" spans="1:33">
      <c r="A298" s="164">
        <v>2490</v>
      </c>
      <c r="B298" s="168" t="s">
        <v>284</v>
      </c>
      <c r="C298" s="123">
        <f>VLOOKUP($A298,'Change in Proportion Calc'!$A$5:$P$319,12,FALSE)</f>
        <v>-12318</v>
      </c>
      <c r="D298" s="123">
        <f>VLOOKUP($A298,'Change in Proportion Calc'!$A$5:$P$319,13,FALSE)</f>
        <v>-12318</v>
      </c>
      <c r="E298" s="123">
        <f>VLOOKUP($A298,'Change in Proportion Calc'!$A$5:$P$319,13,FALSE)</f>
        <v>-12318</v>
      </c>
      <c r="F298" s="123">
        <f>VLOOKUP($A298,'Change in Proportion Calc'!$A$5:$P$319,13,FALSE)</f>
        <v>-12318</v>
      </c>
      <c r="G298" s="123">
        <f>VLOOKUP($A298,'Change in Proportion Calc'!$A$5:$P$319,16,FALSE)</f>
        <v>-10961</v>
      </c>
      <c r="H298" s="167"/>
      <c r="I298" s="123">
        <v>2754</v>
      </c>
      <c r="J298" s="123">
        <v>2754</v>
      </c>
      <c r="K298" s="123">
        <v>2754</v>
      </c>
      <c r="L298" s="123">
        <v>2754</v>
      </c>
      <c r="M298" s="123">
        <v>2697</v>
      </c>
      <c r="N298" s="167"/>
      <c r="O298" s="84">
        <v>-39070</v>
      </c>
      <c r="P298" s="84">
        <v>-39070</v>
      </c>
      <c r="Q298" s="84">
        <v>-39070</v>
      </c>
      <c r="R298" s="85">
        <v>-38291</v>
      </c>
      <c r="S298" s="167"/>
      <c r="T298" s="84">
        <v>15814</v>
      </c>
      <c r="U298" s="84">
        <v>15814</v>
      </c>
      <c r="V298" s="85">
        <v>10122</v>
      </c>
      <c r="X298" s="84">
        <v>3793</v>
      </c>
      <c r="Y298" s="84">
        <v>2731</v>
      </c>
      <c r="AA298" s="85">
        <f>VLOOKUP(A298,'Change in Proportion Calc'!$A$5:$H$319,8,FALSE)+I298+O298+T298+X298</f>
        <v>-29027</v>
      </c>
      <c r="AC298" s="84">
        <f t="shared" si="12"/>
        <v>39626</v>
      </c>
      <c r="AD298" s="84">
        <f t="shared" si="13"/>
        <v>176664</v>
      </c>
      <c r="AF298" s="84">
        <f>VLOOKUP(A298,'OPEB Amounts_Report'!$A$10:$G$324,6,FALSE)</f>
        <v>131242</v>
      </c>
      <c r="AG298" s="85">
        <f t="shared" si="14"/>
        <v>-91616</v>
      </c>
    </row>
    <row r="299" spans="1:33">
      <c r="A299" s="166">
        <v>2530</v>
      </c>
      <c r="B299" s="167" t="s">
        <v>285</v>
      </c>
      <c r="C299" s="123">
        <f>VLOOKUP($A299,'Change in Proportion Calc'!$A$5:$P$319,12,FALSE)</f>
        <v>20889</v>
      </c>
      <c r="D299" s="123">
        <f>VLOOKUP($A299,'Change in Proportion Calc'!$A$5:$P$319,13,FALSE)</f>
        <v>20889</v>
      </c>
      <c r="E299" s="123">
        <f>VLOOKUP($A299,'Change in Proportion Calc'!$A$5:$P$319,13,FALSE)</f>
        <v>20889</v>
      </c>
      <c r="F299" s="123">
        <f>VLOOKUP($A299,'Change in Proportion Calc'!$A$5:$P$319,13,FALSE)</f>
        <v>20889</v>
      </c>
      <c r="G299" s="123">
        <f>VLOOKUP($A299,'Change in Proportion Calc'!$A$5:$P$319,16,FALSE)</f>
        <v>18589</v>
      </c>
      <c r="H299" s="167"/>
      <c r="I299" s="123">
        <v>-33125</v>
      </c>
      <c r="J299" s="123">
        <v>-33125</v>
      </c>
      <c r="K299" s="123">
        <v>-33125</v>
      </c>
      <c r="L299" s="123">
        <v>-33125</v>
      </c>
      <c r="M299" s="123">
        <v>-32461</v>
      </c>
      <c r="N299" s="167"/>
      <c r="O299" s="84">
        <v>-6784</v>
      </c>
      <c r="P299" s="84">
        <v>-6784</v>
      </c>
      <c r="Q299" s="84">
        <v>-6784</v>
      </c>
      <c r="R299" s="85">
        <v>-6646</v>
      </c>
      <c r="S299" s="167"/>
      <c r="T299" s="84">
        <v>13292</v>
      </c>
      <c r="U299" s="84">
        <v>13292</v>
      </c>
      <c r="V299" s="85">
        <v>8505</v>
      </c>
      <c r="X299" s="84">
        <v>-2821</v>
      </c>
      <c r="Y299" s="84">
        <v>-2029</v>
      </c>
      <c r="AA299" s="85">
        <f>VLOOKUP(A299,'Change in Proportion Calc'!$A$5:$H$319,8,FALSE)+I299+O299+T299+X299</f>
        <v>-8549</v>
      </c>
      <c r="AC299" s="84">
        <f t="shared" si="12"/>
        <v>123942</v>
      </c>
      <c r="AD299" s="84">
        <f t="shared" si="13"/>
        <v>154079</v>
      </c>
      <c r="AF299" s="84">
        <f>VLOOKUP(A299,'OPEB Amounts_Report'!$A$10:$G$324,6,FALSE)</f>
        <v>28861</v>
      </c>
      <c r="AG299" s="85">
        <f t="shared" si="14"/>
        <v>95081</v>
      </c>
    </row>
    <row r="300" spans="1:33">
      <c r="A300" s="164">
        <v>2560</v>
      </c>
      <c r="B300" s="168" t="s">
        <v>286</v>
      </c>
      <c r="C300" s="123">
        <f>VLOOKUP($A300,'Change in Proportion Calc'!$A$5:$P$319,12,FALSE)</f>
        <v>1487</v>
      </c>
      <c r="D300" s="123">
        <f>VLOOKUP($A300,'Change in Proportion Calc'!$A$5:$P$319,13,FALSE)</f>
        <v>1487</v>
      </c>
      <c r="E300" s="123">
        <f>VLOOKUP($A300,'Change in Proportion Calc'!$A$5:$P$319,13,FALSE)</f>
        <v>1487</v>
      </c>
      <c r="F300" s="123">
        <f>VLOOKUP($A300,'Change in Proportion Calc'!$A$5:$P$319,13,FALSE)</f>
        <v>1487</v>
      </c>
      <c r="G300" s="123">
        <f>VLOOKUP($A300,'Change in Proportion Calc'!$A$5:$P$319,16,FALSE)</f>
        <v>1321</v>
      </c>
      <c r="H300" s="167"/>
      <c r="I300" s="123">
        <v>-17899</v>
      </c>
      <c r="J300" s="123">
        <v>-17899</v>
      </c>
      <c r="K300" s="123">
        <v>-17899</v>
      </c>
      <c r="L300" s="123">
        <v>-17899</v>
      </c>
      <c r="M300" s="123">
        <v>-17539</v>
      </c>
      <c r="N300" s="167"/>
      <c r="O300" s="84">
        <v>-7642</v>
      </c>
      <c r="P300" s="84">
        <v>-7642</v>
      </c>
      <c r="Q300" s="84">
        <v>-7642</v>
      </c>
      <c r="R300" s="85">
        <v>-7491</v>
      </c>
      <c r="S300" s="167"/>
      <c r="T300" s="84">
        <v>15135</v>
      </c>
      <c r="U300" s="84">
        <v>15135</v>
      </c>
      <c r="V300" s="85">
        <v>9686</v>
      </c>
      <c r="X300" s="84">
        <v>-12643</v>
      </c>
      <c r="Y300" s="84">
        <v>-9105</v>
      </c>
      <c r="AA300" s="85">
        <f>VLOOKUP(A300,'Change in Proportion Calc'!$A$5:$H$319,8,FALSE)+I300+O300+T300+X300</f>
        <v>-21562</v>
      </c>
      <c r="AC300" s="84">
        <f t="shared" si="12"/>
        <v>32090</v>
      </c>
      <c r="AD300" s="84">
        <f t="shared" si="13"/>
        <v>103116</v>
      </c>
      <c r="AF300" s="84">
        <f>VLOOKUP(A300,'OPEB Amounts_Report'!$A$10:$G$324,6,FALSE)</f>
        <v>45622</v>
      </c>
      <c r="AG300" s="85">
        <f t="shared" si="14"/>
        <v>-13532</v>
      </c>
    </row>
    <row r="301" spans="1:33">
      <c r="A301" s="166">
        <v>2610</v>
      </c>
      <c r="B301" s="167" t="s">
        <v>287</v>
      </c>
      <c r="C301" s="123">
        <f>VLOOKUP($A301,'Change in Proportion Calc'!$A$5:$P$319,12,FALSE)</f>
        <v>-3832</v>
      </c>
      <c r="D301" s="123">
        <f>VLOOKUP($A301,'Change in Proportion Calc'!$A$5:$P$319,13,FALSE)</f>
        <v>-3832</v>
      </c>
      <c r="E301" s="123">
        <f>VLOOKUP($A301,'Change in Proportion Calc'!$A$5:$P$319,13,FALSE)</f>
        <v>-3832</v>
      </c>
      <c r="F301" s="123">
        <f>VLOOKUP($A301,'Change in Proportion Calc'!$A$5:$P$319,13,FALSE)</f>
        <v>-3832</v>
      </c>
      <c r="G301" s="123">
        <f>VLOOKUP($A301,'Change in Proportion Calc'!$A$5:$P$319,16,FALSE)</f>
        <v>-3410</v>
      </c>
      <c r="H301" s="167"/>
      <c r="I301" s="123">
        <v>810</v>
      </c>
      <c r="J301" s="123">
        <v>810</v>
      </c>
      <c r="K301" s="123">
        <v>810</v>
      </c>
      <c r="L301" s="123">
        <v>810</v>
      </c>
      <c r="M301" s="123">
        <v>793</v>
      </c>
      <c r="N301" s="167"/>
      <c r="O301" s="84">
        <v>-3520</v>
      </c>
      <c r="P301" s="84">
        <v>-3520</v>
      </c>
      <c r="Q301" s="84">
        <v>-3520</v>
      </c>
      <c r="R301" s="85">
        <v>-3452</v>
      </c>
      <c r="S301" s="167"/>
      <c r="T301" s="84">
        <v>2328</v>
      </c>
      <c r="U301" s="84">
        <v>2328</v>
      </c>
      <c r="V301" s="85">
        <v>1492</v>
      </c>
      <c r="X301" s="84">
        <v>2042</v>
      </c>
      <c r="Y301" s="84">
        <v>1472</v>
      </c>
      <c r="AA301" s="85">
        <f>VLOOKUP(A301,'Change in Proportion Calc'!$A$5:$H$319,8,FALSE)+I301+O301+T301+X301</f>
        <v>-2172</v>
      </c>
      <c r="AC301" s="84">
        <f t="shared" si="12"/>
        <v>8515</v>
      </c>
      <c r="AD301" s="84">
        <f t="shared" si="13"/>
        <v>29230</v>
      </c>
      <c r="AF301" s="84">
        <f>VLOOKUP(A301,'OPEB Amounts_Report'!$A$10:$G$324,6,FALSE)</f>
        <v>14581</v>
      </c>
      <c r="AG301" s="85">
        <f t="shared" si="14"/>
        <v>-6066</v>
      </c>
    </row>
    <row r="302" spans="1:33">
      <c r="A302" s="164">
        <v>2800</v>
      </c>
      <c r="B302" s="168" t="s">
        <v>288</v>
      </c>
      <c r="C302" s="123">
        <f>VLOOKUP($A302,'Change in Proportion Calc'!$A$5:$P$319,12,FALSE)</f>
        <v>2707</v>
      </c>
      <c r="D302" s="123">
        <f>VLOOKUP($A302,'Change in Proportion Calc'!$A$5:$P$319,13,FALSE)</f>
        <v>2707</v>
      </c>
      <c r="E302" s="123">
        <f>VLOOKUP($A302,'Change in Proportion Calc'!$A$5:$P$319,13,FALSE)</f>
        <v>2707</v>
      </c>
      <c r="F302" s="123">
        <f>VLOOKUP($A302,'Change in Proportion Calc'!$A$5:$P$319,13,FALSE)</f>
        <v>2707</v>
      </c>
      <c r="G302" s="123">
        <f>VLOOKUP($A302,'Change in Proportion Calc'!$A$5:$P$319,16,FALSE)</f>
        <v>2411</v>
      </c>
      <c r="H302" s="167"/>
      <c r="I302" s="123">
        <v>3240</v>
      </c>
      <c r="J302" s="123">
        <v>3240</v>
      </c>
      <c r="K302" s="123">
        <v>3240</v>
      </c>
      <c r="L302" s="123">
        <v>3240</v>
      </c>
      <c r="M302" s="123">
        <v>3173</v>
      </c>
      <c r="N302" s="167"/>
      <c r="O302" s="84">
        <v>15199</v>
      </c>
      <c r="P302" s="84">
        <v>15199</v>
      </c>
      <c r="Q302" s="84">
        <v>15199</v>
      </c>
      <c r="R302" s="85">
        <v>14894</v>
      </c>
      <c r="S302" s="167"/>
      <c r="T302" s="84">
        <v>-2717</v>
      </c>
      <c r="U302" s="84">
        <v>-2717</v>
      </c>
      <c r="V302" s="85">
        <v>-1737</v>
      </c>
      <c r="X302" s="84">
        <v>14297</v>
      </c>
      <c r="Y302" s="84">
        <v>10292</v>
      </c>
      <c r="AA302" s="85">
        <f>VLOOKUP(A302,'Change in Proportion Calc'!$A$5:$H$319,8,FALSE)+I302+O302+T302+X302</f>
        <v>32726</v>
      </c>
      <c r="AC302" s="84">
        <f t="shared" si="12"/>
        <v>81716</v>
      </c>
      <c r="AD302" s="84">
        <f t="shared" si="13"/>
        <v>4454</v>
      </c>
      <c r="AF302" s="84">
        <f>VLOOKUP(A302,'OPEB Amounts_Report'!$A$10:$G$324,6,FALSE)</f>
        <v>45097</v>
      </c>
      <c r="AG302" s="85">
        <f t="shared" si="14"/>
        <v>36619</v>
      </c>
    </row>
    <row r="303" spans="1:33">
      <c r="A303" s="166">
        <v>20317</v>
      </c>
      <c r="B303" s="167" t="s">
        <v>289</v>
      </c>
      <c r="C303" s="123">
        <f>VLOOKUP($A303,'Change in Proportion Calc'!$A$5:$P$319,12,FALSE)</f>
        <v>28652</v>
      </c>
      <c r="D303" s="123">
        <f>VLOOKUP($A303,'Change in Proportion Calc'!$A$5:$P$319,13,FALSE)</f>
        <v>28652</v>
      </c>
      <c r="E303" s="123">
        <f>VLOOKUP($A303,'Change in Proportion Calc'!$A$5:$P$319,13,FALSE)</f>
        <v>28652</v>
      </c>
      <c r="F303" s="123">
        <f>VLOOKUP($A303,'Change in Proportion Calc'!$A$5:$P$319,13,FALSE)</f>
        <v>28652</v>
      </c>
      <c r="G303" s="123">
        <f>VLOOKUP($A303,'Change in Proportion Calc'!$A$5:$P$319,16,FALSE)</f>
        <v>25498</v>
      </c>
      <c r="H303" s="167"/>
      <c r="I303" s="123">
        <v>-30047</v>
      </c>
      <c r="J303" s="123">
        <v>-30047</v>
      </c>
      <c r="K303" s="123">
        <v>-30047</v>
      </c>
      <c r="L303" s="123">
        <v>-30047</v>
      </c>
      <c r="M303" s="123">
        <v>-29447</v>
      </c>
      <c r="N303" s="167"/>
      <c r="O303" s="84">
        <v>25332</v>
      </c>
      <c r="P303" s="84">
        <v>25332</v>
      </c>
      <c r="Q303" s="84">
        <v>25332</v>
      </c>
      <c r="R303" s="85">
        <v>24823</v>
      </c>
      <c r="S303" s="167"/>
      <c r="T303" s="84">
        <v>3881</v>
      </c>
      <c r="U303" s="84">
        <v>3881</v>
      </c>
      <c r="V303" s="85">
        <v>2483</v>
      </c>
      <c r="X303" s="84">
        <v>-2140</v>
      </c>
      <c r="Y303" s="84">
        <v>-1539</v>
      </c>
      <c r="AA303" s="85">
        <f>VLOOKUP(A303,'Change in Proportion Calc'!$A$5:$H$319,8,FALSE)+I303+O303+T303+X303</f>
        <v>25677</v>
      </c>
      <c r="AC303" s="84">
        <f t="shared" si="12"/>
        <v>221957</v>
      </c>
      <c r="AD303" s="84">
        <f t="shared" si="13"/>
        <v>121127</v>
      </c>
      <c r="AF303" s="84">
        <f>VLOOKUP(A303,'OPEB Amounts_Report'!$A$10:$G$324,6,FALSE)</f>
        <v>90768</v>
      </c>
      <c r="AG303" s="85">
        <f t="shared" si="14"/>
        <v>131189</v>
      </c>
    </row>
    <row r="304" spans="1:33">
      <c r="A304" s="164">
        <v>30090</v>
      </c>
      <c r="B304" s="168" t="s">
        <v>290</v>
      </c>
      <c r="C304" s="123">
        <f>VLOOKUP($A304,'Change in Proportion Calc'!$A$5:$P$319,12,FALSE)</f>
        <v>-36998</v>
      </c>
      <c r="D304" s="123">
        <f>VLOOKUP($A304,'Change in Proportion Calc'!$A$5:$P$319,13,FALSE)</f>
        <v>-36998</v>
      </c>
      <c r="E304" s="123">
        <f>VLOOKUP($A304,'Change in Proportion Calc'!$A$5:$P$319,13,FALSE)</f>
        <v>-36998</v>
      </c>
      <c r="F304" s="123">
        <f>VLOOKUP($A304,'Change in Proportion Calc'!$A$5:$P$319,13,FALSE)</f>
        <v>-36998</v>
      </c>
      <c r="G304" s="123">
        <f>VLOOKUP($A304,'Change in Proportion Calc'!$A$5:$P$319,16,FALSE)</f>
        <v>-32927</v>
      </c>
      <c r="H304" s="167"/>
      <c r="I304" s="123">
        <v>31100</v>
      </c>
      <c r="J304" s="123">
        <v>31100</v>
      </c>
      <c r="K304" s="123">
        <v>31100</v>
      </c>
      <c r="L304" s="123">
        <v>31100</v>
      </c>
      <c r="M304" s="123">
        <v>30478</v>
      </c>
      <c r="N304" s="167"/>
      <c r="O304" s="84">
        <v>16830</v>
      </c>
      <c r="P304" s="84">
        <v>16830</v>
      </c>
      <c r="Q304" s="84">
        <v>16830</v>
      </c>
      <c r="R304" s="85">
        <v>16495</v>
      </c>
      <c r="S304" s="167"/>
      <c r="T304" s="84">
        <v>-25031</v>
      </c>
      <c r="U304" s="84">
        <v>-25031</v>
      </c>
      <c r="V304" s="85">
        <v>-16020</v>
      </c>
      <c r="X304" s="84">
        <v>1167</v>
      </c>
      <c r="Y304" s="84">
        <v>841</v>
      </c>
      <c r="AA304" s="85">
        <f>VLOOKUP(A304,'Change in Proportion Calc'!$A$5:$H$319,8,FALSE)+I304+O304+T304+X304</f>
        <v>-12932</v>
      </c>
      <c r="AC304" s="84">
        <f t="shared" si="12"/>
        <v>174774</v>
      </c>
      <c r="AD304" s="84">
        <f t="shared" si="13"/>
        <v>221970</v>
      </c>
      <c r="AF304" s="84">
        <f>VLOOKUP(A304,'OPEB Amounts_Report'!$A$10:$G$324,6,FALSE)</f>
        <v>133957</v>
      </c>
      <c r="AG304" s="85">
        <f t="shared" si="14"/>
        <v>40817</v>
      </c>
    </row>
    <row r="305" spans="1:33">
      <c r="A305" s="166">
        <v>29330</v>
      </c>
      <c r="B305" s="167" t="s">
        <v>291</v>
      </c>
      <c r="C305" s="123">
        <f>VLOOKUP($A305,'Change in Proportion Calc'!$A$5:$P$319,12,FALSE)</f>
        <v>1578</v>
      </c>
      <c r="D305" s="123">
        <f>VLOOKUP($A305,'Change in Proportion Calc'!$A$5:$P$319,13,FALSE)</f>
        <v>1578</v>
      </c>
      <c r="E305" s="123">
        <f>VLOOKUP($A305,'Change in Proportion Calc'!$A$5:$P$319,13,FALSE)</f>
        <v>1578</v>
      </c>
      <c r="F305" s="123">
        <f>VLOOKUP($A305,'Change in Proportion Calc'!$A$5:$P$319,13,FALSE)</f>
        <v>1578</v>
      </c>
      <c r="G305" s="123">
        <f>VLOOKUP($A305,'Change in Proportion Calc'!$A$5:$P$319,16,FALSE)</f>
        <v>1404</v>
      </c>
      <c r="H305" s="167"/>
      <c r="I305" s="123">
        <v>-9800</v>
      </c>
      <c r="J305" s="123">
        <v>-9800</v>
      </c>
      <c r="K305" s="123">
        <v>-9800</v>
      </c>
      <c r="L305" s="123">
        <v>-9800</v>
      </c>
      <c r="M305" s="123">
        <v>-9602</v>
      </c>
      <c r="N305" s="167"/>
      <c r="O305" s="84">
        <v>-1632</v>
      </c>
      <c r="P305" s="84">
        <v>-1632</v>
      </c>
      <c r="Q305" s="84">
        <v>-1632</v>
      </c>
      <c r="R305" s="85">
        <v>-1597</v>
      </c>
      <c r="S305" s="167"/>
      <c r="T305" s="84">
        <v>5239</v>
      </c>
      <c r="U305" s="84">
        <v>5239</v>
      </c>
      <c r="V305" s="85">
        <v>3353</v>
      </c>
      <c r="X305" s="84">
        <v>8947</v>
      </c>
      <c r="Y305" s="84">
        <v>6444</v>
      </c>
      <c r="AA305" s="85">
        <f>VLOOKUP(A305,'Change in Proportion Calc'!$A$5:$H$319,8,FALSE)+I305+O305+T305+X305</f>
        <v>4332</v>
      </c>
      <c r="AC305" s="84">
        <f t="shared" si="12"/>
        <v>22752</v>
      </c>
      <c r="AD305" s="84">
        <f>IF(SUM(C305:G305)&lt;0,-SUM(C305:G305),0)+IF(SUM(J305:M305)&lt;0,-SUM(J305:M305),0)+IF(SUM(P305:R305)&lt;0,-SUM(P305:R305),0)+IF(SUM(U305:V305)&lt;0,-SUM(U305:V305),0)+IF(SUM(Y305)&lt;0,-SUM(Y305),0)</f>
        <v>43863</v>
      </c>
      <c r="AF305" s="84">
        <f>VLOOKUP(A305,'OPEB Amounts_Report'!$A$10:$G$324,6,FALSE)</f>
        <v>57372</v>
      </c>
      <c r="AG305" s="85">
        <f t="shared" si="14"/>
        <v>-34620</v>
      </c>
    </row>
    <row r="306" spans="1:33">
      <c r="A306" s="164">
        <v>12038</v>
      </c>
      <c r="B306" s="168" t="s">
        <v>292</v>
      </c>
      <c r="C306" s="123">
        <f>VLOOKUP($A306,'Change in Proportion Calc'!$A$5:$P$319,12,FALSE)</f>
        <v>13036</v>
      </c>
      <c r="D306" s="123">
        <f>VLOOKUP($A306,'Change in Proportion Calc'!$A$5:$P$319,13,FALSE)</f>
        <v>13036</v>
      </c>
      <c r="E306" s="123">
        <f>VLOOKUP($A306,'Change in Proportion Calc'!$A$5:$P$319,13,FALSE)</f>
        <v>13036</v>
      </c>
      <c r="F306" s="123">
        <f>VLOOKUP($A306,'Change in Proportion Calc'!$A$5:$P$319,13,FALSE)</f>
        <v>13036</v>
      </c>
      <c r="G306" s="123">
        <f>VLOOKUP($A306,'Change in Proportion Calc'!$A$5:$P$319,16,FALSE)</f>
        <v>11601</v>
      </c>
      <c r="H306" s="167"/>
      <c r="I306" s="123">
        <v>130150</v>
      </c>
      <c r="J306" s="123">
        <v>130150</v>
      </c>
      <c r="K306" s="123">
        <v>130150</v>
      </c>
      <c r="L306" s="123">
        <v>130150</v>
      </c>
      <c r="M306" s="123">
        <v>127547</v>
      </c>
      <c r="N306" s="167"/>
      <c r="O306" s="84">
        <v>97547</v>
      </c>
      <c r="P306" s="84">
        <v>97547</v>
      </c>
      <c r="Q306" s="84">
        <v>97547</v>
      </c>
      <c r="R306" s="85">
        <v>95598</v>
      </c>
      <c r="S306" s="167"/>
      <c r="T306" s="84">
        <v>52002</v>
      </c>
      <c r="U306" s="84">
        <v>52002</v>
      </c>
      <c r="V306" s="85">
        <v>33283</v>
      </c>
      <c r="X306" s="84">
        <v>34623</v>
      </c>
      <c r="Y306" s="84">
        <v>24930</v>
      </c>
      <c r="AA306" s="85">
        <f>VLOOKUP(A306,'Change in Proportion Calc'!$A$5:$H$319,8,FALSE)+I306+O306+T306+X306</f>
        <v>327358</v>
      </c>
      <c r="AC306" s="84">
        <f t="shared" si="12"/>
        <v>982649</v>
      </c>
      <c r="AD306" s="84">
        <f t="shared" si="13"/>
        <v>0</v>
      </c>
      <c r="AF306" s="84">
        <f>VLOOKUP(A306,'OPEB Amounts_Report'!$A$10:$G$324,6,FALSE)</f>
        <v>1237287</v>
      </c>
      <c r="AG306" s="85">
        <f t="shared" si="14"/>
        <v>-254638</v>
      </c>
    </row>
    <row r="307" spans="1:33">
      <c r="A307" s="166">
        <v>8099</v>
      </c>
      <c r="B307" s="167" t="s">
        <v>293</v>
      </c>
      <c r="C307" s="123">
        <f>VLOOKUP($A307,'Change in Proportion Calc'!$A$5:$P$319,12,FALSE)</f>
        <v>169469</v>
      </c>
      <c r="D307" s="123">
        <f>VLOOKUP($A307,'Change in Proportion Calc'!$A$5:$P$319,13,FALSE)</f>
        <v>169469</v>
      </c>
      <c r="E307" s="123">
        <f>VLOOKUP($A307,'Change in Proportion Calc'!$A$5:$P$319,13,FALSE)</f>
        <v>169469</v>
      </c>
      <c r="F307" s="123">
        <f>VLOOKUP($A307,'Change in Proportion Calc'!$A$5:$P$319,13,FALSE)</f>
        <v>169469</v>
      </c>
      <c r="G307" s="123">
        <f>VLOOKUP($A307,'Change in Proportion Calc'!$A$5:$P$319,16,FALSE)</f>
        <v>150828</v>
      </c>
      <c r="H307" s="167"/>
      <c r="I307" s="123">
        <v>47460</v>
      </c>
      <c r="J307" s="123">
        <v>47460</v>
      </c>
      <c r="K307" s="123">
        <v>47460</v>
      </c>
      <c r="L307" s="123">
        <v>47460</v>
      </c>
      <c r="M307" s="123">
        <v>46510</v>
      </c>
      <c r="N307" s="167"/>
      <c r="O307" s="84">
        <v>-146664</v>
      </c>
      <c r="P307" s="84">
        <v>-146664</v>
      </c>
      <c r="Q307" s="84">
        <v>-146664</v>
      </c>
      <c r="R307" s="85">
        <v>-143733</v>
      </c>
      <c r="S307" s="167"/>
      <c r="T307" s="84">
        <v>-60928</v>
      </c>
      <c r="U307" s="84">
        <v>-60928</v>
      </c>
      <c r="V307" s="85">
        <v>-38995</v>
      </c>
      <c r="X307" s="84">
        <v>-304121</v>
      </c>
      <c r="Y307" s="84">
        <v>-218967</v>
      </c>
      <c r="AA307" s="85">
        <f>VLOOKUP(A307,'Change in Proportion Calc'!$A$5:$H$319,8,FALSE)+I307+O307+T307+X307</f>
        <v>-294784</v>
      </c>
      <c r="AC307" s="84">
        <f t="shared" si="12"/>
        <v>1017594</v>
      </c>
      <c r="AD307" s="84">
        <f t="shared" si="13"/>
        <v>755951</v>
      </c>
      <c r="AF307" s="84">
        <f>VLOOKUP(A307,'OPEB Amounts_Report'!$A$10:$G$324,6,FALSE)</f>
        <v>2041755</v>
      </c>
      <c r="AG307" s="85">
        <f t="shared" si="14"/>
        <v>-1024161</v>
      </c>
    </row>
    <row r="308" spans="1:33">
      <c r="A308" s="166">
        <v>2442</v>
      </c>
      <c r="B308" s="167" t="s">
        <v>444</v>
      </c>
      <c r="C308" s="123">
        <f>VLOOKUP($A308,'Change in Proportion Calc'!$A$5:$P$319,12,FALSE)</f>
        <v>30871</v>
      </c>
      <c r="D308" s="123">
        <f>VLOOKUP($A308,'Change in Proportion Calc'!$A$5:$P$319,13,FALSE)</f>
        <v>30871</v>
      </c>
      <c r="E308" s="123">
        <f>VLOOKUP($A308,'Change in Proportion Calc'!$A$5:$P$319,13,FALSE)</f>
        <v>30871</v>
      </c>
      <c r="F308" s="123">
        <f>VLOOKUP($A308,'Change in Proportion Calc'!$A$5:$P$319,13,FALSE)</f>
        <v>30871</v>
      </c>
      <c r="G308" s="123">
        <f>VLOOKUP($A308,'Change in Proportion Calc'!$A$5:$P$319,16,FALSE)</f>
        <v>27474</v>
      </c>
      <c r="H308" s="167"/>
      <c r="I308" s="123">
        <v>13525</v>
      </c>
      <c r="J308" s="123">
        <v>13525</v>
      </c>
      <c r="K308" s="123">
        <v>13525</v>
      </c>
      <c r="L308" s="123">
        <v>13525</v>
      </c>
      <c r="M308" s="123">
        <v>13256</v>
      </c>
      <c r="N308" s="167"/>
      <c r="O308" s="84">
        <v>0</v>
      </c>
      <c r="P308" s="84">
        <v>0</v>
      </c>
      <c r="Q308" s="84">
        <v>0</v>
      </c>
      <c r="R308" s="84">
        <v>0</v>
      </c>
      <c r="S308" s="167"/>
      <c r="T308" s="84">
        <v>0</v>
      </c>
      <c r="U308" s="84">
        <v>0</v>
      </c>
      <c r="V308" s="84">
        <v>0</v>
      </c>
      <c r="X308" s="84">
        <v>0</v>
      </c>
      <c r="Y308" s="84">
        <v>0</v>
      </c>
      <c r="AA308" s="85">
        <f>VLOOKUP(A308,'Change in Proportion Calc'!$A$5:$H$319,8,FALSE)+I308+O308+T308+X308</f>
        <v>44396</v>
      </c>
      <c r="AC308" s="84">
        <f t="shared" si="12"/>
        <v>204789</v>
      </c>
      <c r="AD308" s="84">
        <f t="shared" si="13"/>
        <v>0</v>
      </c>
      <c r="AF308" s="84">
        <f>VLOOKUP(A308,'OPEB Amounts_Report'!$A$10:$G$324,6,FALSE)</f>
        <v>28657</v>
      </c>
      <c r="AG308" s="85">
        <f t="shared" si="14"/>
        <v>176132</v>
      </c>
    </row>
    <row r="309" spans="1:33">
      <c r="A309" s="164">
        <v>2417</v>
      </c>
      <c r="B309" s="168" t="s">
        <v>294</v>
      </c>
      <c r="C309" s="123">
        <f>VLOOKUP($A309,'Change in Proportion Calc'!$A$5:$P$319,12,FALSE)</f>
        <v>2701</v>
      </c>
      <c r="D309" s="123">
        <f>VLOOKUP($A309,'Change in Proportion Calc'!$A$5:$P$319,13,FALSE)</f>
        <v>2701</v>
      </c>
      <c r="E309" s="123">
        <f>VLOOKUP($A309,'Change in Proportion Calc'!$A$5:$P$319,13,FALSE)</f>
        <v>2701</v>
      </c>
      <c r="F309" s="123">
        <f>VLOOKUP($A309,'Change in Proportion Calc'!$A$5:$P$319,13,FALSE)</f>
        <v>2701</v>
      </c>
      <c r="G309" s="123">
        <f>VLOOKUP($A309,'Change in Proportion Calc'!$A$5:$P$319,16,FALSE)</f>
        <v>2405</v>
      </c>
      <c r="H309" s="167"/>
      <c r="I309" s="123">
        <v>5507</v>
      </c>
      <c r="J309" s="123">
        <v>5507</v>
      </c>
      <c r="K309" s="123">
        <v>5507</v>
      </c>
      <c r="L309" s="123">
        <v>5507</v>
      </c>
      <c r="M309" s="123">
        <v>5399</v>
      </c>
      <c r="N309" s="167"/>
      <c r="O309" s="84">
        <v>-2061</v>
      </c>
      <c r="P309" s="84">
        <v>-2061</v>
      </c>
      <c r="Q309" s="84">
        <v>-2061</v>
      </c>
      <c r="R309" s="85">
        <v>-2019</v>
      </c>
      <c r="S309" s="167"/>
      <c r="T309" s="84">
        <v>8538</v>
      </c>
      <c r="U309" s="84">
        <v>8538</v>
      </c>
      <c r="V309" s="85">
        <v>5463</v>
      </c>
      <c r="X309" s="84">
        <v>778</v>
      </c>
      <c r="Y309" s="84">
        <v>560</v>
      </c>
      <c r="AA309" s="85">
        <f>VLOOKUP(A309,'Change in Proportion Calc'!$A$5:$H$319,8,FALSE)+I309+O309+T309+X309</f>
        <v>15463</v>
      </c>
      <c r="AC309" s="84">
        <f t="shared" si="12"/>
        <v>49690</v>
      </c>
      <c r="AD309" s="84">
        <f t="shared" si="13"/>
        <v>6141</v>
      </c>
      <c r="AF309" s="84">
        <f>VLOOKUP(A309,'OPEB Amounts_Report'!$A$10:$G$324,6,FALSE)</f>
        <v>43170</v>
      </c>
      <c r="AG309" s="85">
        <f t="shared" si="14"/>
        <v>6520</v>
      </c>
    </row>
    <row r="310" spans="1:33">
      <c r="A310" s="166">
        <v>13142</v>
      </c>
      <c r="B310" s="167" t="s">
        <v>295</v>
      </c>
      <c r="C310" s="123">
        <f>VLOOKUP($A310,'Change in Proportion Calc'!$A$5:$P$319,12,FALSE)</f>
        <v>213340</v>
      </c>
      <c r="D310" s="123">
        <f>VLOOKUP($A310,'Change in Proportion Calc'!$A$5:$P$319,13,FALSE)</f>
        <v>213340</v>
      </c>
      <c r="E310" s="123">
        <f>VLOOKUP($A310,'Change in Proportion Calc'!$A$5:$P$319,13,FALSE)</f>
        <v>213340</v>
      </c>
      <c r="F310" s="123">
        <f>VLOOKUP($A310,'Change in Proportion Calc'!$A$5:$P$319,13,FALSE)</f>
        <v>213340</v>
      </c>
      <c r="G310" s="123">
        <f>VLOOKUP($A310,'Change in Proportion Calc'!$A$5:$P$319,16,FALSE)</f>
        <v>189873</v>
      </c>
      <c r="H310" s="167"/>
      <c r="I310" s="123">
        <v>-52886</v>
      </c>
      <c r="J310" s="123">
        <v>-52886</v>
      </c>
      <c r="K310" s="123">
        <v>-52886</v>
      </c>
      <c r="L310" s="123">
        <v>-52886</v>
      </c>
      <c r="M310" s="123">
        <v>-51829</v>
      </c>
      <c r="N310" s="167"/>
      <c r="O310" s="84">
        <v>26448</v>
      </c>
      <c r="P310" s="84">
        <v>26448</v>
      </c>
      <c r="Q310" s="84">
        <v>26448</v>
      </c>
      <c r="R310" s="85">
        <v>25917</v>
      </c>
      <c r="S310" s="167"/>
      <c r="T310" s="84">
        <v>40360</v>
      </c>
      <c r="U310" s="84">
        <v>40360</v>
      </c>
      <c r="V310" s="85">
        <v>25831</v>
      </c>
      <c r="X310" s="84">
        <v>-85197</v>
      </c>
      <c r="Y310" s="84">
        <v>-61340</v>
      </c>
      <c r="AA310" s="85">
        <f>VLOOKUP(A310,'Change in Proportion Calc'!$A$5:$H$319,8,FALSE)+I310+O310+T310+X310</f>
        <v>142065</v>
      </c>
      <c r="AC310" s="84">
        <f t="shared" si="12"/>
        <v>1188237</v>
      </c>
      <c r="AD310" s="84">
        <f t="shared" si="13"/>
        <v>271827</v>
      </c>
      <c r="AF310" s="84">
        <f>VLOOKUP(A310,'OPEB Amounts_Report'!$A$10:$G$324,6,FALSE)</f>
        <v>1289381</v>
      </c>
      <c r="AG310" s="85">
        <f t="shared" si="14"/>
        <v>-101144</v>
      </c>
    </row>
    <row r="311" spans="1:33">
      <c r="A311" s="164">
        <v>4170</v>
      </c>
      <c r="B311" s="168" t="s">
        <v>196</v>
      </c>
      <c r="C311" s="123">
        <f>VLOOKUP($A311,'Change in Proportion Calc'!$A$5:$P$319,12,FALSE)</f>
        <v>-16107</v>
      </c>
      <c r="D311" s="123">
        <f>VLOOKUP($A311,'Change in Proportion Calc'!$A$5:$P$319,13,FALSE)</f>
        <v>-16107</v>
      </c>
      <c r="E311" s="123">
        <f>VLOOKUP($A311,'Change in Proportion Calc'!$A$5:$P$319,13,FALSE)</f>
        <v>-16107</v>
      </c>
      <c r="F311" s="123">
        <f>VLOOKUP($A311,'Change in Proportion Calc'!$A$5:$P$319,13,FALSE)</f>
        <v>-16107</v>
      </c>
      <c r="G311" s="123">
        <f>VLOOKUP($A311,'Change in Proportion Calc'!$A$5:$P$319,16,FALSE)</f>
        <v>-14335</v>
      </c>
      <c r="H311" s="167"/>
      <c r="I311" s="123">
        <v>-43734</v>
      </c>
      <c r="J311" s="123">
        <v>-43734</v>
      </c>
      <c r="K311" s="123">
        <v>-43734</v>
      </c>
      <c r="L311" s="123">
        <v>-43734</v>
      </c>
      <c r="M311" s="123">
        <v>-42861</v>
      </c>
      <c r="N311" s="167"/>
      <c r="O311" s="84">
        <v>0</v>
      </c>
      <c r="P311" s="84">
        <v>0</v>
      </c>
      <c r="Q311" s="84">
        <v>0</v>
      </c>
      <c r="R311" s="85">
        <v>0</v>
      </c>
      <c r="S311" s="167"/>
      <c r="T311" s="84">
        <v>11157</v>
      </c>
      <c r="U311" s="84">
        <v>11157</v>
      </c>
      <c r="V311" s="85">
        <v>7142</v>
      </c>
      <c r="X311" s="84">
        <v>-9239</v>
      </c>
      <c r="Y311" s="84">
        <v>-6654</v>
      </c>
      <c r="AA311" s="85">
        <f>VLOOKUP(A311,'Change in Proportion Calc'!$A$5:$H$319,8,FALSE)+I311+O311+T311+X311</f>
        <v>-57923</v>
      </c>
      <c r="AC311" s="84">
        <f t="shared" si="12"/>
        <v>18299</v>
      </c>
      <c r="AD311" s="84">
        <f t="shared" si="13"/>
        <v>259480</v>
      </c>
      <c r="AF311" s="84">
        <f>VLOOKUP(A311,'OPEB Amounts_Report'!$A$10:$G$324,6,FALSE)</f>
        <v>0</v>
      </c>
      <c r="AG311" s="85">
        <f t="shared" si="14"/>
        <v>18299</v>
      </c>
    </row>
    <row r="312" spans="1:33">
      <c r="A312" s="166">
        <v>4215</v>
      </c>
      <c r="B312" s="167" t="s">
        <v>183</v>
      </c>
      <c r="C312" s="123">
        <f>VLOOKUP($A312,'Change in Proportion Calc'!$A$5:$P$319,12,FALSE)</f>
        <v>-22073</v>
      </c>
      <c r="D312" s="123">
        <f>VLOOKUP($A312,'Change in Proportion Calc'!$A$5:$P$319,13,FALSE)</f>
        <v>-22073</v>
      </c>
      <c r="E312" s="123">
        <f>VLOOKUP($A312,'Change in Proportion Calc'!$A$5:$P$319,13,FALSE)</f>
        <v>-22073</v>
      </c>
      <c r="F312" s="123">
        <f>VLOOKUP($A312,'Change in Proportion Calc'!$A$5:$P$319,13,FALSE)</f>
        <v>-22073</v>
      </c>
      <c r="G312" s="123">
        <f>VLOOKUP($A312,'Change in Proportion Calc'!$A$5:$P$319,16,FALSE)</f>
        <v>-19643</v>
      </c>
      <c r="H312" s="167"/>
      <c r="I312" s="123">
        <v>-34340</v>
      </c>
      <c r="J312" s="123">
        <v>-34340</v>
      </c>
      <c r="K312" s="123">
        <v>-34340</v>
      </c>
      <c r="L312" s="123">
        <v>-34340</v>
      </c>
      <c r="M312" s="123">
        <v>-33651</v>
      </c>
      <c r="N312" s="167"/>
      <c r="O312" s="84">
        <v>-18462</v>
      </c>
      <c r="P312" s="84">
        <v>-18462</v>
      </c>
      <c r="Q312" s="84">
        <v>-18462</v>
      </c>
      <c r="R312" s="85">
        <v>-18092</v>
      </c>
      <c r="S312" s="167"/>
      <c r="T312" s="84">
        <v>-31046</v>
      </c>
      <c r="U312" s="84">
        <v>-31046</v>
      </c>
      <c r="V312" s="85">
        <v>-19870</v>
      </c>
      <c r="X312" s="84">
        <v>11379</v>
      </c>
      <c r="Y312" s="84">
        <v>8193</v>
      </c>
      <c r="AA312" s="85">
        <f>VLOOKUP(A312,'Change in Proportion Calc'!$A$5:$H$319,8,FALSE)+I312+O312+T312+X312</f>
        <v>-94541</v>
      </c>
      <c r="AC312" s="84">
        <f t="shared" si="12"/>
        <v>8193</v>
      </c>
      <c r="AD312" s="84">
        <f t="shared" si="13"/>
        <v>350538</v>
      </c>
      <c r="AF312" s="84">
        <f>VLOOKUP(A312,'OPEB Amounts_Report'!$A$10:$G$324,6,FALSE)</f>
        <v>0</v>
      </c>
      <c r="AG312" s="85">
        <f t="shared" si="14"/>
        <v>8193</v>
      </c>
    </row>
    <row r="313" spans="1:33">
      <c r="A313" s="166">
        <v>17334</v>
      </c>
      <c r="B313" s="167" t="s">
        <v>445</v>
      </c>
      <c r="C313" s="123">
        <f>VLOOKUP($A313,'Change in Proportion Calc'!$A$5:$P$319,12,FALSE)</f>
        <v>0</v>
      </c>
      <c r="D313" s="123">
        <f>VLOOKUP($A313,'Change in Proportion Calc'!$A$5:$P$319,13,FALSE)</f>
        <v>0</v>
      </c>
      <c r="E313" s="123">
        <f>VLOOKUP($A313,'Change in Proportion Calc'!$A$5:$P$319,13,FALSE)</f>
        <v>0</v>
      </c>
      <c r="F313" s="123">
        <f>VLOOKUP($A313,'Change in Proportion Calc'!$A$5:$P$319,13,FALSE)</f>
        <v>0</v>
      </c>
      <c r="G313" s="123">
        <f>VLOOKUP($A313,'Change in Proportion Calc'!$A$5:$P$319,16,FALSE)</f>
        <v>0</v>
      </c>
      <c r="H313" s="167"/>
      <c r="I313" s="123">
        <v>-16846</v>
      </c>
      <c r="J313" s="123">
        <v>-16846</v>
      </c>
      <c r="K313" s="123">
        <v>-16846</v>
      </c>
      <c r="L313" s="123">
        <v>-16846</v>
      </c>
      <c r="M313" s="123">
        <v>-16508</v>
      </c>
      <c r="N313" s="167"/>
      <c r="O313" s="84">
        <v>-11764</v>
      </c>
      <c r="P313" s="84">
        <v>-11764</v>
      </c>
      <c r="Q313" s="84">
        <v>-11764</v>
      </c>
      <c r="R313" s="85">
        <v>-11529</v>
      </c>
      <c r="S313" s="167"/>
      <c r="T313" s="84">
        <v>-5142</v>
      </c>
      <c r="U313" s="84">
        <v>-5142</v>
      </c>
      <c r="V313" s="85">
        <v>-3291</v>
      </c>
      <c r="X313" s="84">
        <v>2237</v>
      </c>
      <c r="Y313" s="84">
        <v>1610</v>
      </c>
      <c r="AA313" s="85">
        <f>VLOOKUP(A313,'Change in Proportion Calc'!$A$5:$H$319,8,FALSE)+I313+O313+T313+X313</f>
        <v>-31515</v>
      </c>
      <c r="AC313" s="84">
        <f t="shared" si="12"/>
        <v>1610</v>
      </c>
      <c r="AD313" s="84">
        <f t="shared" si="13"/>
        <v>110536</v>
      </c>
      <c r="AF313" s="84">
        <f>VLOOKUP(A313,'OPEB Amounts_Report'!$A$10:$G$324,6,FALSE)</f>
        <v>0</v>
      </c>
      <c r="AG313" s="85">
        <f t="shared" si="14"/>
        <v>1610</v>
      </c>
    </row>
    <row r="314" spans="1:33">
      <c r="A314" s="164">
        <v>2403</v>
      </c>
      <c r="B314" s="168" t="s">
        <v>414</v>
      </c>
      <c r="C314" s="123">
        <f>VLOOKUP($A314,'Change in Proportion Calc'!$A$5:$P$319,12,FALSE)</f>
        <v>0</v>
      </c>
      <c r="D314" s="123">
        <f>VLOOKUP($A314,'Change in Proportion Calc'!$A$5:$P$319,13,FALSE)</f>
        <v>0</v>
      </c>
      <c r="E314" s="123">
        <f>VLOOKUP($A314,'Change in Proportion Calc'!$A$5:$P$319,13,FALSE)</f>
        <v>0</v>
      </c>
      <c r="F314" s="123">
        <f>VLOOKUP($A314,'Change in Proportion Calc'!$A$5:$P$319,13,FALSE)</f>
        <v>0</v>
      </c>
      <c r="G314" s="123">
        <f>VLOOKUP($A314,'Change in Proportion Calc'!$A$5:$P$319,16,FALSE)</f>
        <v>0</v>
      </c>
      <c r="H314" s="167"/>
      <c r="I314" s="123">
        <v>0</v>
      </c>
      <c r="J314" s="123">
        <v>0</v>
      </c>
      <c r="K314" s="123">
        <v>0</v>
      </c>
      <c r="L314" s="123">
        <v>0</v>
      </c>
      <c r="M314" s="123">
        <v>0</v>
      </c>
      <c r="N314" s="167"/>
      <c r="O314" s="84">
        <v>0</v>
      </c>
      <c r="P314" s="84">
        <v>0</v>
      </c>
      <c r="Q314" s="84">
        <v>0</v>
      </c>
      <c r="R314" s="85">
        <v>0</v>
      </c>
      <c r="S314" s="167"/>
      <c r="T314" s="84">
        <v>-73444</v>
      </c>
      <c r="U314" s="84">
        <v>-73444</v>
      </c>
      <c r="V314" s="85">
        <v>-47002</v>
      </c>
      <c r="X314" s="84">
        <v>73623</v>
      </c>
      <c r="Y314" s="84">
        <v>53009</v>
      </c>
      <c r="AA314" s="85">
        <f>VLOOKUP(A314,'Change in Proportion Calc'!$A$5:$H$319,8,FALSE)+I314+O314+T314+X314</f>
        <v>179</v>
      </c>
      <c r="AC314" s="84">
        <f t="shared" si="12"/>
        <v>53009</v>
      </c>
      <c r="AD314" s="84">
        <f t="shared" si="13"/>
        <v>120446</v>
      </c>
      <c r="AF314" s="84">
        <f>VLOOKUP(A314,'OPEB Amounts_Report'!$A$10:$G$324,6,FALSE)</f>
        <v>0</v>
      </c>
      <c r="AG314" s="85">
        <f t="shared" si="14"/>
        <v>53009</v>
      </c>
    </row>
    <row r="315" spans="1:33">
      <c r="A315" s="166">
        <v>16358</v>
      </c>
      <c r="B315" s="167" t="s">
        <v>415</v>
      </c>
      <c r="C315" s="123">
        <f>VLOOKUP($A315,'Change in Proportion Calc'!$A$5:$P$319,12,FALSE)</f>
        <v>0</v>
      </c>
      <c r="D315" s="123">
        <f>VLOOKUP($A315,'Change in Proportion Calc'!$A$5:$P$319,13,FALSE)</f>
        <v>0</v>
      </c>
      <c r="E315" s="123">
        <f>VLOOKUP($A315,'Change in Proportion Calc'!$A$5:$P$319,13,FALSE)</f>
        <v>0</v>
      </c>
      <c r="F315" s="123">
        <f>VLOOKUP($A315,'Change in Proportion Calc'!$A$5:$P$319,13,FALSE)</f>
        <v>0</v>
      </c>
      <c r="G315" s="123">
        <f>VLOOKUP($A315,'Change in Proportion Calc'!$A$5:$P$319,16,FALSE)</f>
        <v>0</v>
      </c>
      <c r="H315" s="167"/>
      <c r="I315" s="123">
        <v>0</v>
      </c>
      <c r="J315" s="123">
        <v>0</v>
      </c>
      <c r="K315" s="123">
        <v>0</v>
      </c>
      <c r="L315" s="123">
        <v>0</v>
      </c>
      <c r="M315" s="123">
        <v>0</v>
      </c>
      <c r="N315" s="167"/>
      <c r="O315" s="84">
        <v>0</v>
      </c>
      <c r="P315" s="84">
        <v>0</v>
      </c>
      <c r="Q315" s="84">
        <v>0</v>
      </c>
      <c r="R315" s="85">
        <v>0</v>
      </c>
      <c r="S315" s="167"/>
      <c r="T315" s="84">
        <v>-189188</v>
      </c>
      <c r="U315" s="84">
        <v>-189188</v>
      </c>
      <c r="V315" s="85">
        <v>-121078</v>
      </c>
      <c r="X315" s="84">
        <v>1459</v>
      </c>
      <c r="Y315" s="84">
        <v>1050</v>
      </c>
      <c r="AA315" s="85">
        <f>VLOOKUP(A315,'Change in Proportion Calc'!$A$5:$H$319,8,FALSE)+I315+O315+T315+X315</f>
        <v>-187729</v>
      </c>
      <c r="AC315" s="84">
        <f t="shared" si="12"/>
        <v>1050</v>
      </c>
      <c r="AD315" s="84">
        <f t="shared" si="13"/>
        <v>310266</v>
      </c>
      <c r="AF315" s="84">
        <f>VLOOKUP(A315,'OPEB Amounts_Report'!$A$10:$G$324,6,FALSE)</f>
        <v>0</v>
      </c>
      <c r="AG315" s="85">
        <f t="shared" si="14"/>
        <v>1050</v>
      </c>
    </row>
    <row r="316" spans="1:33">
      <c r="A316" s="164">
        <v>2357</v>
      </c>
      <c r="B316" s="168" t="s">
        <v>416</v>
      </c>
      <c r="C316" s="123">
        <f>VLOOKUP($A316,'Change in Proportion Calc'!$A$5:$P$319,12,FALSE)</f>
        <v>0</v>
      </c>
      <c r="D316" s="123">
        <f>VLOOKUP($A316,'Change in Proportion Calc'!$A$5:$P$319,13,FALSE)</f>
        <v>0</v>
      </c>
      <c r="E316" s="123">
        <f>VLOOKUP($A316,'Change in Proportion Calc'!$A$5:$P$319,13,FALSE)</f>
        <v>0</v>
      </c>
      <c r="F316" s="123">
        <f>VLOOKUP($A316,'Change in Proportion Calc'!$A$5:$P$319,13,FALSE)</f>
        <v>0</v>
      </c>
      <c r="G316" s="123">
        <f>VLOOKUP($A316,'Change in Proportion Calc'!$A$5:$P$319,16,FALSE)</f>
        <v>0</v>
      </c>
      <c r="H316" s="167"/>
      <c r="I316" s="123">
        <v>0</v>
      </c>
      <c r="J316" s="123">
        <v>0</v>
      </c>
      <c r="K316" s="123">
        <v>0</v>
      </c>
      <c r="L316" s="123">
        <v>0</v>
      </c>
      <c r="M316" s="123">
        <v>0</v>
      </c>
      <c r="N316" s="167"/>
      <c r="O316" s="84">
        <v>0</v>
      </c>
      <c r="P316" s="84">
        <v>0</v>
      </c>
      <c r="Q316" s="84">
        <v>0</v>
      </c>
      <c r="R316" s="85">
        <v>0</v>
      </c>
      <c r="S316" s="167"/>
      <c r="T316" s="84">
        <v>-88191</v>
      </c>
      <c r="U316" s="84">
        <v>-88191</v>
      </c>
      <c r="V316" s="85">
        <v>-56440</v>
      </c>
      <c r="X316" s="84">
        <v>-12935</v>
      </c>
      <c r="Y316" s="84">
        <v>-9314</v>
      </c>
      <c r="AA316" s="85">
        <f>VLOOKUP(A316,'Change in Proportion Calc'!$A$5:$H$319,8,FALSE)+I316+O316+T316+X316</f>
        <v>-101126</v>
      </c>
      <c r="AC316" s="84">
        <f t="shared" si="12"/>
        <v>0</v>
      </c>
      <c r="AD316" s="84">
        <f t="shared" si="13"/>
        <v>153945</v>
      </c>
      <c r="AF316" s="84">
        <f>VLOOKUP(A316,'OPEB Amounts_Report'!$A$10:$G$324,6,FALSE)</f>
        <v>0</v>
      </c>
      <c r="AG316" s="85">
        <f t="shared" si="14"/>
        <v>0</v>
      </c>
    </row>
    <row r="317" spans="1:33">
      <c r="A317" s="166">
        <v>16357</v>
      </c>
      <c r="B317" s="167" t="s">
        <v>417</v>
      </c>
      <c r="C317" s="123">
        <f>VLOOKUP($A317,'Change in Proportion Calc'!$A$5:$P$319,12,FALSE)</f>
        <v>0</v>
      </c>
      <c r="D317" s="123">
        <f>VLOOKUP($A317,'Change in Proportion Calc'!$A$5:$P$319,13,FALSE)</f>
        <v>0</v>
      </c>
      <c r="E317" s="123">
        <f>VLOOKUP($A317,'Change in Proportion Calc'!$A$5:$P$319,13,FALSE)</f>
        <v>0</v>
      </c>
      <c r="F317" s="123">
        <f>VLOOKUP($A317,'Change in Proportion Calc'!$A$5:$P$319,13,FALSE)</f>
        <v>0</v>
      </c>
      <c r="G317" s="123">
        <f>VLOOKUP($A317,'Change in Proportion Calc'!$A$5:$P$319,16,FALSE)</f>
        <v>0</v>
      </c>
      <c r="H317" s="167"/>
      <c r="I317" s="123">
        <v>0</v>
      </c>
      <c r="J317" s="123">
        <v>0</v>
      </c>
      <c r="K317" s="123">
        <v>0</v>
      </c>
      <c r="L317" s="123">
        <v>0</v>
      </c>
      <c r="M317" s="123">
        <v>0</v>
      </c>
      <c r="N317" s="167"/>
      <c r="O317" s="84">
        <v>0</v>
      </c>
      <c r="P317" s="84">
        <v>0</v>
      </c>
      <c r="Q317" s="84">
        <v>0</v>
      </c>
      <c r="R317" s="85">
        <v>0</v>
      </c>
      <c r="S317" s="167"/>
      <c r="T317" s="84">
        <v>-116811</v>
      </c>
      <c r="U317" s="84">
        <v>-116811</v>
      </c>
      <c r="V317" s="85">
        <v>-74761</v>
      </c>
      <c r="X317" s="84">
        <v>-60493</v>
      </c>
      <c r="Y317" s="84">
        <v>-43557</v>
      </c>
      <c r="AA317" s="85">
        <f>VLOOKUP(A317,'Change in Proportion Calc'!$A$5:$H$319,8,FALSE)+I317+O317+T317+X317</f>
        <v>-177304</v>
      </c>
      <c r="AC317" s="84">
        <f t="shared" si="12"/>
        <v>0</v>
      </c>
      <c r="AD317" s="84">
        <f t="shared" si="13"/>
        <v>235129</v>
      </c>
      <c r="AF317" s="84">
        <f>VLOOKUP(A317,'OPEB Amounts_Report'!$A$10:$G$324,6,FALSE)</f>
        <v>0</v>
      </c>
      <c r="AG317" s="85">
        <f t="shared" si="14"/>
        <v>0</v>
      </c>
    </row>
    <row r="318" spans="1:33">
      <c r="A318" s="164">
        <v>7339</v>
      </c>
      <c r="B318" s="168" t="s">
        <v>418</v>
      </c>
      <c r="C318" s="123">
        <f>VLOOKUP($A318,'Change in Proportion Calc'!$A$5:$P$319,12,FALSE)</f>
        <v>0</v>
      </c>
      <c r="D318" s="123">
        <f>VLOOKUP($A318,'Change in Proportion Calc'!$A$5:$P$319,13,FALSE)</f>
        <v>0</v>
      </c>
      <c r="E318" s="123">
        <f>VLOOKUP($A318,'Change in Proportion Calc'!$A$5:$P$319,13,FALSE)</f>
        <v>0</v>
      </c>
      <c r="F318" s="123">
        <f>VLOOKUP($A318,'Change in Proportion Calc'!$A$5:$P$319,13,FALSE)</f>
        <v>0</v>
      </c>
      <c r="G318" s="123">
        <f>VLOOKUP($A318,'Change in Proportion Calc'!$A$5:$P$319,16,FALSE)</f>
        <v>0</v>
      </c>
      <c r="H318" s="167"/>
      <c r="I318" s="123">
        <v>0</v>
      </c>
      <c r="J318" s="123">
        <v>0</v>
      </c>
      <c r="K318" s="123">
        <v>0</v>
      </c>
      <c r="L318" s="123">
        <v>0</v>
      </c>
      <c r="M318" s="123">
        <v>0</v>
      </c>
      <c r="N318" s="167"/>
      <c r="O318" s="84">
        <v>0</v>
      </c>
      <c r="P318" s="84">
        <v>0</v>
      </c>
      <c r="Q318" s="84">
        <v>0</v>
      </c>
      <c r="R318" s="85">
        <v>0</v>
      </c>
      <c r="S318" s="167"/>
      <c r="T318" s="84">
        <v>-117781</v>
      </c>
      <c r="U318" s="84">
        <v>-117781</v>
      </c>
      <c r="V318" s="85">
        <v>-75382</v>
      </c>
      <c r="X318" s="84">
        <v>-8461</v>
      </c>
      <c r="Y318" s="84">
        <v>-6094</v>
      </c>
      <c r="AA318" s="85">
        <f>VLOOKUP(A318,'Change in Proportion Calc'!$A$5:$H$319,8,FALSE)+I318+O318+T318+X318</f>
        <v>-126242</v>
      </c>
      <c r="AC318" s="84">
        <f t="shared" si="12"/>
        <v>0</v>
      </c>
      <c r="AD318" s="84">
        <f t="shared" si="13"/>
        <v>199257</v>
      </c>
      <c r="AF318" s="84">
        <f>VLOOKUP(A318,'OPEB Amounts_Report'!$A$10:$G$324,6,FALSE)</f>
        <v>0</v>
      </c>
      <c r="AG318" s="85">
        <f t="shared" si="14"/>
        <v>0</v>
      </c>
    </row>
    <row r="319" spans="1:33">
      <c r="A319" s="166">
        <v>2344</v>
      </c>
      <c r="B319" s="167" t="s">
        <v>407</v>
      </c>
      <c r="C319" s="123">
        <f>VLOOKUP($A319,'Change in Proportion Calc'!$A$5:$P$319,12,FALSE)</f>
        <v>0</v>
      </c>
      <c r="D319" s="123">
        <f>VLOOKUP($A319,'Change in Proportion Calc'!$A$5:$P$319,13,FALSE)</f>
        <v>0</v>
      </c>
      <c r="E319" s="123">
        <f>VLOOKUP($A319,'Change in Proportion Calc'!$A$5:$P$319,13,FALSE)</f>
        <v>0</v>
      </c>
      <c r="F319" s="123">
        <f>VLOOKUP($A319,'Change in Proportion Calc'!$A$5:$P$319,13,FALSE)</f>
        <v>0</v>
      </c>
      <c r="G319" s="123">
        <f>VLOOKUP($A319,'Change in Proportion Calc'!$A$5:$P$319,16,FALSE)</f>
        <v>0</v>
      </c>
      <c r="H319" s="167"/>
      <c r="I319" s="123">
        <v>0</v>
      </c>
      <c r="J319" s="123">
        <v>0</v>
      </c>
      <c r="K319" s="123">
        <v>0</v>
      </c>
      <c r="L319" s="123">
        <v>0</v>
      </c>
      <c r="M319" s="123">
        <v>0</v>
      </c>
      <c r="N319" s="167"/>
      <c r="O319" s="84">
        <v>0</v>
      </c>
      <c r="P319" s="84">
        <v>0</v>
      </c>
      <c r="Q319" s="84">
        <v>0</v>
      </c>
      <c r="R319" s="85">
        <v>0</v>
      </c>
      <c r="S319" s="167"/>
      <c r="T319" s="84">
        <v>-183367</v>
      </c>
      <c r="U319" s="84">
        <v>-183367</v>
      </c>
      <c r="V319" s="85">
        <v>-117353</v>
      </c>
      <c r="X319" s="84">
        <v>-23828</v>
      </c>
      <c r="Y319" s="84">
        <v>-17155</v>
      </c>
      <c r="AA319" s="85">
        <f>VLOOKUP(A319,'Change in Proportion Calc'!$A$5:$H$319,8,FALSE)+I319+O319+T319+X319</f>
        <v>-207195</v>
      </c>
      <c r="AC319" s="84">
        <f t="shared" si="12"/>
        <v>0</v>
      </c>
      <c r="AD319" s="84">
        <f t="shared" si="13"/>
        <v>317875</v>
      </c>
      <c r="AF319" s="84">
        <f>VLOOKUP(A319,'OPEB Amounts_Report'!$A$10:$G$324,6,FALSE)</f>
        <v>0</v>
      </c>
      <c r="AG319" s="85">
        <f t="shared" si="14"/>
        <v>0</v>
      </c>
    </row>
    <row r="320" spans="1:33">
      <c r="A320" s="164">
        <v>2418</v>
      </c>
      <c r="B320" s="168" t="s">
        <v>419</v>
      </c>
      <c r="C320" s="123">
        <f>VLOOKUP($A320,'Change in Proportion Calc'!$A$5:$P$319,12,FALSE)</f>
        <v>0</v>
      </c>
      <c r="D320" s="123">
        <f>VLOOKUP($A320,'Change in Proportion Calc'!$A$5:$P$319,13,FALSE)</f>
        <v>0</v>
      </c>
      <c r="E320" s="123">
        <f>VLOOKUP($A320,'Change in Proportion Calc'!$A$5:$P$319,13,FALSE)</f>
        <v>0</v>
      </c>
      <c r="F320" s="123">
        <f>VLOOKUP($A320,'Change in Proportion Calc'!$A$5:$P$319,13,FALSE)</f>
        <v>0</v>
      </c>
      <c r="G320" s="123">
        <f>VLOOKUP($A320,'Change in Proportion Calc'!$A$5:$P$319,16,FALSE)</f>
        <v>0</v>
      </c>
      <c r="H320" s="167"/>
      <c r="I320" s="123">
        <v>0</v>
      </c>
      <c r="J320" s="123">
        <v>0</v>
      </c>
      <c r="K320" s="123">
        <v>0</v>
      </c>
      <c r="L320" s="123">
        <v>0</v>
      </c>
      <c r="M320" s="123">
        <v>0</v>
      </c>
      <c r="N320" s="167"/>
      <c r="O320" s="84">
        <v>0</v>
      </c>
      <c r="P320" s="84">
        <v>0</v>
      </c>
      <c r="Q320" s="84">
        <v>0</v>
      </c>
      <c r="R320" s="85">
        <v>0</v>
      </c>
      <c r="S320" s="167"/>
      <c r="T320" s="84">
        <v>0</v>
      </c>
      <c r="U320" s="84">
        <v>0</v>
      </c>
      <c r="V320" s="85">
        <v>0</v>
      </c>
      <c r="X320" s="84">
        <v>-126433</v>
      </c>
      <c r="Y320" s="84">
        <v>-91034</v>
      </c>
      <c r="AA320" s="85">
        <f>VLOOKUP(A320,'Change in Proportion Calc'!$A$5:$H$319,8,FALSE)+I320+O320+T320+X320</f>
        <v>-126433</v>
      </c>
      <c r="AC320" s="84">
        <f t="shared" si="12"/>
        <v>0</v>
      </c>
      <c r="AD320" s="84">
        <f t="shared" si="13"/>
        <v>91034</v>
      </c>
      <c r="AF320" s="84">
        <f>VLOOKUP(A320,'OPEB Amounts_Report'!$A$10:$G$324,6,FALSE)</f>
        <v>0</v>
      </c>
      <c r="AG320" s="85">
        <f t="shared" si="14"/>
        <v>0</v>
      </c>
    </row>
    <row r="321" spans="1:33">
      <c r="A321" s="166">
        <v>2345</v>
      </c>
      <c r="B321" s="167" t="s">
        <v>420</v>
      </c>
      <c r="C321" s="123">
        <f>VLOOKUP($A321,'Change in Proportion Calc'!$A$5:$P$319,12,FALSE)</f>
        <v>0</v>
      </c>
      <c r="D321" s="123">
        <f>VLOOKUP($A321,'Change in Proportion Calc'!$A$5:$P$319,13,FALSE)</f>
        <v>0</v>
      </c>
      <c r="E321" s="123">
        <f>VLOOKUP($A321,'Change in Proportion Calc'!$A$5:$P$319,13,FALSE)</f>
        <v>0</v>
      </c>
      <c r="F321" s="123">
        <f>VLOOKUP($A321,'Change in Proportion Calc'!$A$5:$P$319,13,FALSE)</f>
        <v>0</v>
      </c>
      <c r="G321" s="123">
        <f>VLOOKUP($A321,'Change in Proportion Calc'!$A$5:$P$319,16,FALSE)</f>
        <v>0</v>
      </c>
      <c r="H321" s="167"/>
      <c r="I321" s="123">
        <v>0</v>
      </c>
      <c r="J321" s="123">
        <v>0</v>
      </c>
      <c r="K321" s="123">
        <v>0</v>
      </c>
      <c r="L321" s="123">
        <v>0</v>
      </c>
      <c r="M321" s="123">
        <v>0</v>
      </c>
      <c r="N321" s="167"/>
      <c r="O321" s="84">
        <v>0</v>
      </c>
      <c r="P321" s="84">
        <v>0</v>
      </c>
      <c r="Q321" s="84">
        <v>0</v>
      </c>
      <c r="R321" s="85">
        <v>0</v>
      </c>
      <c r="S321" s="167"/>
      <c r="T321" s="84">
        <v>0</v>
      </c>
      <c r="U321" s="84">
        <v>0</v>
      </c>
      <c r="V321" s="85">
        <v>0</v>
      </c>
      <c r="X321" s="84">
        <v>-108636</v>
      </c>
      <c r="Y321" s="84">
        <v>-78216</v>
      </c>
      <c r="AA321" s="85">
        <f>VLOOKUP(A321,'Change in Proportion Calc'!$A$5:$H$319,8,FALSE)+I321+O321+T321+X321</f>
        <v>-108636</v>
      </c>
      <c r="AC321" s="84">
        <f t="shared" si="12"/>
        <v>0</v>
      </c>
      <c r="AD321" s="84">
        <f t="shared" si="13"/>
        <v>78216</v>
      </c>
      <c r="AF321" s="84">
        <f>VLOOKUP(A321,'OPEB Amounts_Report'!$A$10:$G$324,6,FALSE)</f>
        <v>0</v>
      </c>
      <c r="AG321" s="85">
        <f t="shared" si="14"/>
        <v>0</v>
      </c>
    </row>
    <row r="322" spans="1:33">
      <c r="A322" s="164">
        <v>13430</v>
      </c>
      <c r="B322" s="168" t="s">
        <v>421</v>
      </c>
      <c r="C322" s="123">
        <f>VLOOKUP($A322,'Change in Proportion Calc'!$A$5:$P$319,12,FALSE)</f>
        <v>0</v>
      </c>
      <c r="D322" s="123">
        <f>VLOOKUP($A322,'Change in Proportion Calc'!$A$5:$P$319,13,FALSE)</f>
        <v>0</v>
      </c>
      <c r="E322" s="123">
        <f>VLOOKUP($A322,'Change in Proportion Calc'!$A$5:$P$319,13,FALSE)</f>
        <v>0</v>
      </c>
      <c r="F322" s="123">
        <f>VLOOKUP($A322,'Change in Proportion Calc'!$A$5:$P$319,13,FALSE)</f>
        <v>0</v>
      </c>
      <c r="G322" s="123">
        <f>VLOOKUP($A322,'Change in Proportion Calc'!$A$5:$P$319,16,FALSE)</f>
        <v>0</v>
      </c>
      <c r="H322" s="167"/>
      <c r="I322" s="123">
        <v>0</v>
      </c>
      <c r="J322" s="123">
        <v>0</v>
      </c>
      <c r="K322" s="123">
        <v>0</v>
      </c>
      <c r="L322" s="123">
        <v>0</v>
      </c>
      <c r="M322" s="123">
        <v>0</v>
      </c>
      <c r="N322" s="167"/>
      <c r="O322" s="84">
        <v>0</v>
      </c>
      <c r="P322" s="84">
        <v>0</v>
      </c>
      <c r="Q322" s="84">
        <v>0</v>
      </c>
      <c r="R322" s="85">
        <v>0</v>
      </c>
      <c r="S322" s="167"/>
      <c r="T322" s="84">
        <v>0</v>
      </c>
      <c r="U322" s="84">
        <v>0</v>
      </c>
      <c r="V322" s="85">
        <v>0</v>
      </c>
      <c r="X322" s="84">
        <v>-188678</v>
      </c>
      <c r="Y322" s="84">
        <v>-135846</v>
      </c>
      <c r="AA322" s="85">
        <f>VLOOKUP(A322,'Change in Proportion Calc'!$A$5:$H$319,8,FALSE)+I322+O322+T322+X322</f>
        <v>-188678</v>
      </c>
      <c r="AC322" s="84">
        <f t="shared" si="12"/>
        <v>0</v>
      </c>
      <c r="AD322" s="84">
        <f t="shared" si="13"/>
        <v>135846</v>
      </c>
      <c r="AF322" s="84">
        <f>VLOOKUP(A322,'OPEB Amounts_Report'!$A$10:$G$324,6,FALSE)</f>
        <v>0</v>
      </c>
      <c r="AG322" s="85">
        <f t="shared" si="14"/>
        <v>0</v>
      </c>
    </row>
    <row r="323" spans="1:33">
      <c r="A323" s="15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S323" s="62"/>
    </row>
    <row r="324" spans="1:33" ht="13.5" thickBot="1">
      <c r="A324" s="152"/>
      <c r="B324" s="153"/>
      <c r="C324" s="33">
        <f>SUM(C8:C323)</f>
        <v>0</v>
      </c>
      <c r="D324" s="33">
        <f>SUM(D8:D323)</f>
        <v>0</v>
      </c>
      <c r="E324" s="33">
        <f>SUM(E8:E323)</f>
        <v>0</v>
      </c>
      <c r="F324" s="33">
        <f>SUM(F8:F323)</f>
        <v>0</v>
      </c>
      <c r="G324" s="33">
        <f>SUM(G8:G323)</f>
        <v>0</v>
      </c>
      <c r="H324" s="153"/>
      <c r="I324" s="33">
        <f>SUM(I8:I323)</f>
        <v>0</v>
      </c>
      <c r="J324" s="33">
        <f>SUM(J8:J323)</f>
        <v>0</v>
      </c>
      <c r="K324" s="33">
        <f>SUM(K8:K323)</f>
        <v>0</v>
      </c>
      <c r="L324" s="33">
        <f>SUM(L8:L323)</f>
        <v>0</v>
      </c>
      <c r="M324" s="33">
        <f>SUM(M8:M323)</f>
        <v>0</v>
      </c>
      <c r="N324" s="153"/>
      <c r="O324" s="33">
        <f>SUM(O8:O323)</f>
        <v>0</v>
      </c>
      <c r="P324" s="33">
        <f>SUM(P8:P323)</f>
        <v>0</v>
      </c>
      <c r="Q324" s="33">
        <f>SUM(Q8:Q323)</f>
        <v>0</v>
      </c>
      <c r="R324" s="33">
        <f>SUM(R8:R323)</f>
        <v>0</v>
      </c>
      <c r="S324" s="153"/>
      <c r="T324" s="33">
        <f>SUM(T8:T323)</f>
        <v>0</v>
      </c>
      <c r="U324" s="33">
        <f>SUM(U8:U323)</f>
        <v>0</v>
      </c>
      <c r="V324" s="33">
        <f>SUM(V8:V323)</f>
        <v>0</v>
      </c>
      <c r="X324" s="33">
        <f>SUM(X8:X323)</f>
        <v>0</v>
      </c>
      <c r="Y324" s="33">
        <f>SUM(Y8:Y323)</f>
        <v>0</v>
      </c>
      <c r="AA324" s="33">
        <f>SUM(AA8:AA323)</f>
        <v>0</v>
      </c>
      <c r="AC324" s="43">
        <f>SUM(AC8:AC323)</f>
        <v>179831774</v>
      </c>
      <c r="AD324" s="43">
        <f>SUM(AD8:AD323)</f>
        <v>179831774</v>
      </c>
    </row>
    <row r="325" spans="1:33" ht="13.5" thickTop="1">
      <c r="A325" s="152"/>
      <c r="B325" s="153"/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</row>
    <row r="326" spans="1:33">
      <c r="A326" s="152"/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</row>
    <row r="327" spans="1:33">
      <c r="A327" s="152"/>
      <c r="B327" s="153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</row>
    <row r="328" spans="1:33">
      <c r="A328" s="152"/>
      <c r="B328" s="153"/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</row>
    <row r="329" spans="1:33">
      <c r="A329" s="152"/>
      <c r="B329" s="153"/>
      <c r="C329" s="153"/>
      <c r="D329" s="153"/>
      <c r="E329" s="153"/>
      <c r="F329" s="153"/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</row>
  </sheetData>
  <mergeCells count="11">
    <mergeCell ref="AC3:AD3"/>
    <mergeCell ref="C2:G2"/>
    <mergeCell ref="I2:M2"/>
    <mergeCell ref="O2:R2"/>
    <mergeCell ref="T2:V2"/>
    <mergeCell ref="X2:Y2"/>
    <mergeCell ref="C3:G3"/>
    <mergeCell ref="I3:M3"/>
    <mergeCell ref="O3:R3"/>
    <mergeCell ref="T3:V3"/>
    <mergeCell ref="X3:Y3"/>
  </mergeCells>
  <pageMargins left="0.7" right="0.7" top="0.75" bottom="0.75" header="0.3" footer="0.75"/>
  <pageSetup scale="22" firstPageNumber="3" fitToHeight="0" orientation="portrait" useFirstPageNumber="1" r:id="rId1"/>
  <headerFooter differentOddEven="1">
    <oddHeader xml:space="preserve">&amp;L&amp;"Arial,Bold"&amp;14New Mexico Retiree Health Care Authority&amp;"Arial,Regular"&amp;18
&amp;"Arial,Bold"&amp;12Schedule of Employer Allocations
As of and for the Year Ended June 30, 2017
</oddHeader>
    <oddFooter>&amp;R&amp;"Arial,Regular"&amp;10&amp;P</oddFooter>
    <evenHeader xml:space="preserve">&amp;L&amp;"Arial,Bold"&amp;14New Mexico Retiree Health Care Authority&amp;"-,Regular"&amp;11
&amp;"Arial,Bold"&amp;12Schedule of Employer Allocations
As of and for the Year Ended June 30, 2017
</evenHeader>
    <evenFooter>&amp;R&amp;"Arial,Regular"&amp;10&amp;P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A315-67C5-460F-817C-FCA5F4BF7182}">
  <sheetPr>
    <tabColor rgb="FFFF0000"/>
    <pageSetUpPr fitToPage="1"/>
  </sheetPr>
  <dimension ref="A1:Q329"/>
  <sheetViews>
    <sheetView view="pageBreakPreview" zoomScaleNormal="100" zoomScaleSheetLayoutView="100" workbookViewId="0">
      <pane ySplit="2" topLeftCell="A289" activePane="bottomLeft" state="frozen"/>
      <selection activeCell="A234" sqref="A234:XFD234"/>
      <selection pane="bottomLeft" activeCell="A234" sqref="A234:XFD234"/>
    </sheetView>
  </sheetViews>
  <sheetFormatPr defaultColWidth="9.28515625" defaultRowHeight="12.75"/>
  <cols>
    <col min="1" max="1" width="12.28515625" style="53" customWidth="1"/>
    <col min="2" max="2" width="64.42578125" style="53" bestFit="1" customWidth="1"/>
    <col min="3" max="3" width="15.7109375" style="53" customWidth="1"/>
    <col min="4" max="4" width="2.28515625" style="53" customWidth="1"/>
    <col min="5" max="5" width="14.42578125" style="53" customWidth="1"/>
    <col min="6" max="6" width="2.42578125" style="53" customWidth="1"/>
    <col min="7" max="7" width="15.28515625" style="53" customWidth="1"/>
    <col min="8" max="9" width="17" style="53" bestFit="1" customWidth="1"/>
    <col min="10" max="10" width="9" style="53" customWidth="1"/>
    <col min="11" max="11" width="15.42578125" style="53" customWidth="1"/>
    <col min="12" max="12" width="10.7109375" style="53" bestFit="1" customWidth="1"/>
    <col min="13" max="16" width="11" style="53" bestFit="1" customWidth="1"/>
    <col min="17" max="17" width="9.42578125" style="53" bestFit="1" customWidth="1"/>
    <col min="18" max="16384" width="9.28515625" style="53"/>
  </cols>
  <sheetData>
    <row r="1" spans="1:17">
      <c r="L1" s="36" t="s">
        <v>315</v>
      </c>
      <c r="M1" s="83"/>
      <c r="N1" s="83"/>
      <c r="O1" s="83"/>
      <c r="P1" s="83"/>
      <c r="Q1" s="83"/>
    </row>
    <row r="2" spans="1:17" ht="51">
      <c r="A2" s="139" t="s">
        <v>0</v>
      </c>
      <c r="B2" s="140" t="s">
        <v>1</v>
      </c>
      <c r="C2" s="139" t="s">
        <v>564</v>
      </c>
      <c r="D2" s="139"/>
      <c r="E2" s="139" t="s">
        <v>447</v>
      </c>
      <c r="F2" s="139"/>
      <c r="G2" s="139" t="s">
        <v>379</v>
      </c>
      <c r="H2" s="139" t="s">
        <v>382</v>
      </c>
      <c r="I2" s="139" t="s">
        <v>383</v>
      </c>
      <c r="L2" s="53">
        <v>2024</v>
      </c>
      <c r="M2" s="53">
        <v>2025</v>
      </c>
      <c r="N2" s="53">
        <v>2026</v>
      </c>
      <c r="O2" s="53">
        <v>2027</v>
      </c>
      <c r="P2" s="53">
        <v>2028</v>
      </c>
      <c r="Q2" s="83" t="s">
        <v>384</v>
      </c>
    </row>
    <row r="3" spans="1:17">
      <c r="A3" s="141"/>
      <c r="B3" s="142"/>
      <c r="C3" s="142" t="s">
        <v>4</v>
      </c>
    </row>
    <row r="4" spans="1:17">
      <c r="A4" s="141"/>
      <c r="B4" s="142"/>
      <c r="C4" s="142"/>
      <c r="E4" s="21"/>
      <c r="F4" s="21"/>
      <c r="G4" s="22"/>
      <c r="H4" s="23"/>
      <c r="I4" s="23"/>
      <c r="J4" s="23"/>
      <c r="K4" s="24"/>
    </row>
    <row r="5" spans="1:17">
      <c r="A5" s="164">
        <v>1341</v>
      </c>
      <c r="B5" s="165" t="s">
        <v>5</v>
      </c>
      <c r="C5" s="66">
        <f>VLOOKUP(A5,'Contribution Allocation_Report'!$A$9:$D$311,4,FALSE)</f>
        <v>0.23881448544976333</v>
      </c>
      <c r="E5" s="81">
        <f>VLOOKUP(A5,Contributions_21!$A$9:$D$310,4,FALSE)</f>
        <v>0.24123510000000001</v>
      </c>
      <c r="F5" s="26"/>
      <c r="G5" s="82">
        <f>ROUND((E5-C5)*$G$326,0)-5</f>
        <v>-10631629</v>
      </c>
      <c r="H5" s="146">
        <f>ROUND(G5/5.89,0)</f>
        <v>-1805030</v>
      </c>
      <c r="I5" s="146">
        <f>G5-H5</f>
        <v>-8826599</v>
      </c>
      <c r="J5" s="211"/>
      <c r="K5" s="25"/>
      <c r="L5" s="84">
        <f>ROUND($I5/4.89,0)-6</f>
        <v>-1805036</v>
      </c>
      <c r="M5" s="84">
        <f>ROUND($I5/4.89,0)-6</f>
        <v>-1805036</v>
      </c>
      <c r="N5" s="84">
        <f>ROUND($I5/4.89,0)-6</f>
        <v>-1805036</v>
      </c>
      <c r="O5" s="84">
        <f>ROUND($I5/4.89,0)-6</f>
        <v>-1805036</v>
      </c>
      <c r="P5" s="85">
        <f>I5-SUM(L5:O5)</f>
        <v>-1606455</v>
      </c>
      <c r="Q5" s="85">
        <f>+I5-SUM(L5:P5)</f>
        <v>0</v>
      </c>
    </row>
    <row r="6" spans="1:17">
      <c r="A6" s="166">
        <v>2308</v>
      </c>
      <c r="B6" s="167" t="s">
        <v>6</v>
      </c>
      <c r="C6" s="56">
        <f>VLOOKUP(A6,'Contribution Allocation_Report'!$A$9:$D$311,4,FALSE)</f>
        <v>4.5179739387245157E-4</v>
      </c>
      <c r="E6" s="81">
        <f>VLOOKUP(A6,Contributions_21!$A$9:$D$310,4,FALSE)</f>
        <v>3.7619999999999998E-4</v>
      </c>
      <c r="F6" s="26"/>
      <c r="G6" s="82">
        <f>ROUND((E6-C6)*$G$326,0)</f>
        <v>332033</v>
      </c>
      <c r="H6" s="146">
        <f>ROUND(G6/5.89,0)</f>
        <v>56372</v>
      </c>
      <c r="I6" s="146">
        <f>G6-H6</f>
        <v>275661</v>
      </c>
      <c r="J6" s="211"/>
      <c r="K6" s="25"/>
      <c r="L6" s="84">
        <f t="shared" ref="L6:O69" si="0">ROUND($I6/4.89,0)</f>
        <v>56372</v>
      </c>
      <c r="M6" s="84">
        <f t="shared" si="0"/>
        <v>56372</v>
      </c>
      <c r="N6" s="84">
        <f t="shared" si="0"/>
        <v>56372</v>
      </c>
      <c r="O6" s="84">
        <f t="shared" si="0"/>
        <v>56372</v>
      </c>
      <c r="P6" s="85">
        <f t="shared" ref="P6:P70" si="1">I6-SUM(L6:O6)</f>
        <v>50173</v>
      </c>
      <c r="Q6" s="85">
        <f t="shared" ref="Q6:Q70" si="2">+I6-SUM(L6:P6)</f>
        <v>0</v>
      </c>
    </row>
    <row r="7" spans="1:17">
      <c r="A7" s="164">
        <v>2340</v>
      </c>
      <c r="B7" s="168" t="s">
        <v>7</v>
      </c>
      <c r="C7" s="57">
        <f>VLOOKUP(A7,'Contribution Allocation_Report'!$A$9:$D$311,4,FALSE)</f>
        <v>4.0026437668310425E-4</v>
      </c>
      <c r="E7" s="81">
        <f>VLOOKUP(A7,Contributions_21!$A$9:$D$310,4,FALSE)</f>
        <v>4.0479999999999997E-4</v>
      </c>
      <c r="F7" s="26"/>
      <c r="G7" s="82">
        <f>ROUND((E7-C7)*$G$326,0)</f>
        <v>-19921</v>
      </c>
      <c r="H7" s="146">
        <f t="shared" ref="H7:H70" si="3">ROUND(G7/5.89,0)</f>
        <v>-3382</v>
      </c>
      <c r="I7" s="146">
        <f t="shared" ref="I7:I71" si="4">G7-H7</f>
        <v>-16539</v>
      </c>
      <c r="J7" s="146"/>
      <c r="K7" s="25"/>
      <c r="L7" s="84">
        <f t="shared" si="0"/>
        <v>-3382</v>
      </c>
      <c r="M7" s="84">
        <f t="shared" si="0"/>
        <v>-3382</v>
      </c>
      <c r="N7" s="84">
        <f t="shared" si="0"/>
        <v>-3382</v>
      </c>
      <c r="O7" s="84">
        <f t="shared" si="0"/>
        <v>-3382</v>
      </c>
      <c r="P7" s="85">
        <f t="shared" si="1"/>
        <v>-3011</v>
      </c>
      <c r="Q7" s="85">
        <f t="shared" si="2"/>
        <v>0</v>
      </c>
    </row>
    <row r="8" spans="1:17">
      <c r="A8" s="166">
        <v>1301</v>
      </c>
      <c r="B8" s="167" t="s">
        <v>8</v>
      </c>
      <c r="C8" s="56">
        <f>VLOOKUP(A8,'Contribution Allocation_Report'!$A$9:$D$311,4,FALSE)</f>
        <v>4.6876834356384311E-4</v>
      </c>
      <c r="E8" s="81">
        <f>VLOOKUP(A8,Contributions_21!$A$9:$D$310,4,FALSE)</f>
        <v>4.7800000000000002E-4</v>
      </c>
      <c r="F8" s="26"/>
      <c r="G8" s="82">
        <f t="shared" ref="G8:G71" si="5">ROUND((E8-C8)*$G$326,0)</f>
        <v>-40547</v>
      </c>
      <c r="H8" s="146">
        <f t="shared" si="3"/>
        <v>-6884</v>
      </c>
      <c r="I8" s="146">
        <f t="shared" si="4"/>
        <v>-33663</v>
      </c>
      <c r="J8" s="146"/>
      <c r="K8" s="25"/>
      <c r="L8" s="84">
        <f t="shared" si="0"/>
        <v>-6884</v>
      </c>
      <c r="M8" s="84">
        <f t="shared" si="0"/>
        <v>-6884</v>
      </c>
      <c r="N8" s="84">
        <f t="shared" si="0"/>
        <v>-6884</v>
      </c>
      <c r="O8" s="84">
        <f t="shared" si="0"/>
        <v>-6884</v>
      </c>
      <c r="P8" s="85">
        <f t="shared" si="1"/>
        <v>-6127</v>
      </c>
      <c r="Q8" s="85">
        <f t="shared" si="2"/>
        <v>0</v>
      </c>
    </row>
    <row r="9" spans="1:17">
      <c r="A9" s="164">
        <v>2390</v>
      </c>
      <c r="B9" s="168" t="s">
        <v>9</v>
      </c>
      <c r="C9" s="57">
        <f>VLOOKUP(A9,'Contribution Allocation_Report'!$A$9:$D$311,4,FALSE)</f>
        <v>3.2542091351393375E-4</v>
      </c>
      <c r="E9" s="81">
        <f>VLOOKUP(A9,Contributions_21!$A$9:$D$310,4,FALSE)</f>
        <v>3.235E-4</v>
      </c>
      <c r="F9" s="26"/>
      <c r="G9" s="82">
        <f t="shared" si="5"/>
        <v>8437</v>
      </c>
      <c r="H9" s="146">
        <f t="shared" si="3"/>
        <v>1432</v>
      </c>
      <c r="I9" s="146">
        <f t="shared" si="4"/>
        <v>7005</v>
      </c>
      <c r="J9" s="146"/>
      <c r="K9" s="25"/>
      <c r="L9" s="84">
        <f t="shared" si="0"/>
        <v>1433</v>
      </c>
      <c r="M9" s="84">
        <f t="shared" si="0"/>
        <v>1433</v>
      </c>
      <c r="N9" s="84">
        <f t="shared" si="0"/>
        <v>1433</v>
      </c>
      <c r="O9" s="84">
        <f t="shared" si="0"/>
        <v>1433</v>
      </c>
      <c r="P9" s="85">
        <f t="shared" si="1"/>
        <v>1273</v>
      </c>
      <c r="Q9" s="85">
        <f t="shared" si="2"/>
        <v>0</v>
      </c>
    </row>
    <row r="10" spans="1:17">
      <c r="A10" s="166">
        <v>2441</v>
      </c>
      <c r="B10" s="167" t="s">
        <v>437</v>
      </c>
      <c r="C10" s="56">
        <f>VLOOKUP(A10,'Contribution Allocation_Report'!$A$9:$D$311,4,FALSE)</f>
        <v>9.1725817415537391E-5</v>
      </c>
      <c r="E10" s="81">
        <f>VLOOKUP(A10,Contributions_21!$A$9:$D$310,4,FALSE)</f>
        <v>8.0900000000000001E-5</v>
      </c>
      <c r="F10" s="26"/>
      <c r="G10" s="82">
        <f t="shared" si="5"/>
        <v>47548</v>
      </c>
      <c r="H10" s="146">
        <f t="shared" si="3"/>
        <v>8073</v>
      </c>
      <c r="I10" s="146">
        <f t="shared" si="4"/>
        <v>39475</v>
      </c>
      <c r="J10" s="146"/>
      <c r="K10" s="25"/>
      <c r="L10" s="84">
        <f t="shared" si="0"/>
        <v>8073</v>
      </c>
      <c r="M10" s="84">
        <f t="shared" si="0"/>
        <v>8073</v>
      </c>
      <c r="N10" s="84">
        <f t="shared" si="0"/>
        <v>8073</v>
      </c>
      <c r="O10" s="84">
        <f t="shared" si="0"/>
        <v>8073</v>
      </c>
      <c r="P10" s="85">
        <f>I10-SUM(L10:O10)</f>
        <v>7183</v>
      </c>
      <c r="Q10" s="85">
        <f t="shared" si="2"/>
        <v>0</v>
      </c>
    </row>
    <row r="11" spans="1:17">
      <c r="A11" s="164">
        <v>15046</v>
      </c>
      <c r="B11" s="168" t="s">
        <v>10</v>
      </c>
      <c r="C11" s="57">
        <f>VLOOKUP(A11,'Contribution Allocation_Report'!$A$9:$D$311,4,FALSE)</f>
        <v>6.7212442171045951E-3</v>
      </c>
      <c r="E11" s="81">
        <f>VLOOKUP(A11,Contributions_21!$A$9:$D$310,4,FALSE)</f>
        <v>7.0288E-3</v>
      </c>
      <c r="F11" s="26"/>
      <c r="G11" s="82">
        <f t="shared" si="5"/>
        <v>-1350821</v>
      </c>
      <c r="H11" s="146">
        <f t="shared" si="3"/>
        <v>-229341</v>
      </c>
      <c r="I11" s="146">
        <f t="shared" si="4"/>
        <v>-1121480</v>
      </c>
      <c r="J11" s="146"/>
      <c r="K11" s="25"/>
      <c r="L11" s="84">
        <f t="shared" si="0"/>
        <v>-229342</v>
      </c>
      <c r="M11" s="84">
        <f t="shared" si="0"/>
        <v>-229342</v>
      </c>
      <c r="N11" s="84">
        <f t="shared" si="0"/>
        <v>-229342</v>
      </c>
      <c r="O11" s="84">
        <f t="shared" si="0"/>
        <v>-229342</v>
      </c>
      <c r="P11" s="85">
        <f t="shared" si="1"/>
        <v>-204112</v>
      </c>
      <c r="Q11" s="85">
        <f t="shared" si="2"/>
        <v>0</v>
      </c>
    </row>
    <row r="12" spans="1:17">
      <c r="A12" s="166">
        <v>4380</v>
      </c>
      <c r="B12" s="167" t="s">
        <v>11</v>
      </c>
      <c r="C12" s="56">
        <f>VLOOKUP(A12,'Contribution Allocation_Report'!$A$9:$D$311,4,FALSE)</f>
        <v>7.0031844549880897E-3</v>
      </c>
      <c r="E12" s="81">
        <f>VLOOKUP(A12,Contributions_21!$A$9:$D$310,4,FALSE)</f>
        <v>7.2471000000000002E-3</v>
      </c>
      <c r="F12" s="26"/>
      <c r="G12" s="82">
        <f t="shared" si="5"/>
        <v>-1071306</v>
      </c>
      <c r="H12" s="146">
        <f t="shared" si="3"/>
        <v>-181886</v>
      </c>
      <c r="I12" s="146">
        <f t="shared" si="4"/>
        <v>-889420</v>
      </c>
      <c r="J12" s="146"/>
      <c r="K12" s="25"/>
      <c r="L12" s="84">
        <f t="shared" si="0"/>
        <v>-181885</v>
      </c>
      <c r="M12" s="84">
        <f t="shared" si="0"/>
        <v>-181885</v>
      </c>
      <c r="N12" s="84">
        <f t="shared" si="0"/>
        <v>-181885</v>
      </c>
      <c r="O12" s="84">
        <f t="shared" si="0"/>
        <v>-181885</v>
      </c>
      <c r="P12" s="85">
        <f>I12-SUM(L12:O12)</f>
        <v>-161880</v>
      </c>
      <c r="Q12" s="85">
        <f t="shared" si="2"/>
        <v>0</v>
      </c>
    </row>
    <row r="13" spans="1:17">
      <c r="A13" s="164">
        <v>2343</v>
      </c>
      <c r="B13" s="168" t="s">
        <v>438</v>
      </c>
      <c r="C13" s="57">
        <f>VLOOKUP(A13,'Contribution Allocation_Report'!$A$9:$D$311,4,FALSE)</f>
        <v>4.3582068195300352E-4</v>
      </c>
      <c r="E13" s="81">
        <f>VLOOKUP(A13,Contributions_21!$A$9:$D$310,4,FALSE)</f>
        <v>4.6710000000000002E-4</v>
      </c>
      <c r="F13" s="26"/>
      <c r="G13" s="82">
        <f t="shared" si="5"/>
        <v>-137382</v>
      </c>
      <c r="H13" s="146">
        <f t="shared" si="3"/>
        <v>-23325</v>
      </c>
      <c r="I13" s="146">
        <f t="shared" si="4"/>
        <v>-114057</v>
      </c>
      <c r="J13" s="146"/>
      <c r="K13" s="25"/>
      <c r="L13" s="84">
        <f t="shared" si="0"/>
        <v>-23325</v>
      </c>
      <c r="M13" s="84">
        <f t="shared" si="0"/>
        <v>-23325</v>
      </c>
      <c r="N13" s="84">
        <f t="shared" si="0"/>
        <v>-23325</v>
      </c>
      <c r="O13" s="84">
        <f t="shared" si="0"/>
        <v>-23325</v>
      </c>
      <c r="P13" s="85">
        <f t="shared" si="1"/>
        <v>-20757</v>
      </c>
      <c r="Q13" s="85">
        <f t="shared" si="2"/>
        <v>0</v>
      </c>
    </row>
    <row r="14" spans="1:17">
      <c r="A14" s="166">
        <v>2435</v>
      </c>
      <c r="B14" s="167" t="s">
        <v>408</v>
      </c>
      <c r="C14" s="56">
        <f>VLOOKUP(A14,'Contribution Allocation_Report'!$A$9:$D$311,4,FALSE)</f>
        <v>1.8772390406893087E-4</v>
      </c>
      <c r="E14" s="81">
        <f>VLOOKUP(A14,Contributions_21!$A$9:$D$310,4,FALSE)</f>
        <v>1.4249999999999999E-4</v>
      </c>
      <c r="F14" s="26"/>
      <c r="G14" s="82">
        <f t="shared" si="5"/>
        <v>198629</v>
      </c>
      <c r="H14" s="146">
        <f t="shared" si="3"/>
        <v>33723</v>
      </c>
      <c r="I14" s="146">
        <f t="shared" si="4"/>
        <v>164906</v>
      </c>
      <c r="J14" s="146"/>
      <c r="K14" s="25"/>
      <c r="L14" s="84">
        <f t="shared" si="0"/>
        <v>33723</v>
      </c>
      <c r="M14" s="84">
        <f t="shared" si="0"/>
        <v>33723</v>
      </c>
      <c r="N14" s="84">
        <f t="shared" si="0"/>
        <v>33723</v>
      </c>
      <c r="O14" s="84">
        <f t="shared" si="0"/>
        <v>33723</v>
      </c>
      <c r="P14" s="85">
        <f t="shared" si="1"/>
        <v>30014</v>
      </c>
      <c r="Q14" s="85">
        <f t="shared" si="2"/>
        <v>0</v>
      </c>
    </row>
    <row r="15" spans="1:17">
      <c r="A15" s="164">
        <v>4560</v>
      </c>
      <c r="B15" s="168" t="s">
        <v>12</v>
      </c>
      <c r="C15" s="57">
        <f>VLOOKUP(A15,'Contribution Allocation_Report'!$A$9:$D$311,4,FALSE)</f>
        <v>5.855568279830249E-4</v>
      </c>
      <c r="E15" s="81">
        <f>VLOOKUP(A15,Contributions_21!$A$9:$D$310,4,FALSE)</f>
        <v>6.3080000000000005E-4</v>
      </c>
      <c r="F15" s="26"/>
      <c r="G15" s="82">
        <f t="shared" si="5"/>
        <v>-198713</v>
      </c>
      <c r="H15" s="146">
        <f t="shared" si="3"/>
        <v>-33737</v>
      </c>
      <c r="I15" s="146">
        <f t="shared" si="4"/>
        <v>-164976</v>
      </c>
      <c r="J15" s="146"/>
      <c r="K15" s="25"/>
      <c r="L15" s="84">
        <f t="shared" si="0"/>
        <v>-33737</v>
      </c>
      <c r="M15" s="84">
        <f t="shared" si="0"/>
        <v>-33737</v>
      </c>
      <c r="N15" s="84">
        <f t="shared" si="0"/>
        <v>-33737</v>
      </c>
      <c r="O15" s="84">
        <f t="shared" si="0"/>
        <v>-33737</v>
      </c>
      <c r="P15" s="85">
        <f t="shared" si="1"/>
        <v>-30028</v>
      </c>
      <c r="Q15" s="85">
        <f t="shared" si="2"/>
        <v>0</v>
      </c>
    </row>
    <row r="16" spans="1:17">
      <c r="A16" s="166">
        <v>2341</v>
      </c>
      <c r="B16" s="167" t="s">
        <v>565</v>
      </c>
      <c r="C16" s="56">
        <f>VLOOKUP(A16,'Contribution Allocation_Report'!$A$9:$D$311,4,FALSE)</f>
        <v>3.6888190126770038E-4</v>
      </c>
      <c r="E16" s="81">
        <f>VLOOKUP(A16,Contributions_21!$A$9:$D$310,4,FALSE)</f>
        <v>3.704E-4</v>
      </c>
      <c r="F16" s="26"/>
      <c r="G16" s="82">
        <f t="shared" si="5"/>
        <v>-6668</v>
      </c>
      <c r="H16" s="146">
        <f t="shared" si="3"/>
        <v>-1132</v>
      </c>
      <c r="I16" s="146">
        <f t="shared" si="4"/>
        <v>-5536</v>
      </c>
      <c r="J16" s="146"/>
      <c r="K16" s="25"/>
      <c r="L16" s="84">
        <f t="shared" si="0"/>
        <v>-1132</v>
      </c>
      <c r="M16" s="84">
        <f t="shared" si="0"/>
        <v>-1132</v>
      </c>
      <c r="N16" s="84">
        <f t="shared" si="0"/>
        <v>-1132</v>
      </c>
      <c r="O16" s="84">
        <f t="shared" si="0"/>
        <v>-1132</v>
      </c>
      <c r="P16" s="85">
        <f t="shared" si="1"/>
        <v>-1008</v>
      </c>
      <c r="Q16" s="85">
        <f t="shared" si="2"/>
        <v>0</v>
      </c>
    </row>
    <row r="17" spans="1:17">
      <c r="A17" s="164">
        <v>4580</v>
      </c>
      <c r="B17" s="168" t="s">
        <v>409</v>
      </c>
      <c r="C17" s="57">
        <f>VLOOKUP(A17,'Contribution Allocation_Report'!$A$9:$D$311,4,FALSE)</f>
        <v>3.2430854848195743E-4</v>
      </c>
      <c r="E17" s="81">
        <f>VLOOKUP(A17,Contributions_21!$A$9:$D$310,4,FALSE)</f>
        <v>3.1060000000000001E-4</v>
      </c>
      <c r="F17" s="26"/>
      <c r="G17" s="82">
        <f t="shared" si="5"/>
        <v>60210</v>
      </c>
      <c r="H17" s="146">
        <f t="shared" si="3"/>
        <v>10222</v>
      </c>
      <c r="I17" s="146">
        <f t="shared" si="4"/>
        <v>49988</v>
      </c>
      <c r="J17" s="146"/>
      <c r="K17" s="25"/>
      <c r="L17" s="84">
        <f t="shared" si="0"/>
        <v>10222</v>
      </c>
      <c r="M17" s="84">
        <f t="shared" si="0"/>
        <v>10222</v>
      </c>
      <c r="N17" s="84">
        <f t="shared" si="0"/>
        <v>10222</v>
      </c>
      <c r="O17" s="84">
        <f t="shared" si="0"/>
        <v>10222</v>
      </c>
      <c r="P17" s="85">
        <f t="shared" si="1"/>
        <v>9100</v>
      </c>
      <c r="Q17" s="85">
        <f t="shared" si="2"/>
        <v>0</v>
      </c>
    </row>
    <row r="18" spans="1:17">
      <c r="A18" s="166">
        <v>2003</v>
      </c>
      <c r="B18" s="167" t="s">
        <v>13</v>
      </c>
      <c r="C18" s="56">
        <f>VLOOKUP(A18,'Contribution Allocation_Report'!$A$9:$D$311,4,FALSE)</f>
        <v>0.11441541604844273</v>
      </c>
      <c r="E18" s="81">
        <f>VLOOKUP(A18,Contributions_21!$A$9:$D$310,4,FALSE)</f>
        <v>0.1131696</v>
      </c>
      <c r="F18" s="26"/>
      <c r="G18" s="82">
        <f t="shared" si="5"/>
        <v>5471771</v>
      </c>
      <c r="H18" s="146">
        <f t="shared" si="3"/>
        <v>928993</v>
      </c>
      <c r="I18" s="146">
        <f t="shared" si="4"/>
        <v>4542778</v>
      </c>
      <c r="J18" s="146"/>
      <c r="K18" s="25"/>
      <c r="L18" s="84">
        <f t="shared" si="0"/>
        <v>928993</v>
      </c>
      <c r="M18" s="84">
        <f t="shared" si="0"/>
        <v>928993</v>
      </c>
      <c r="N18" s="84">
        <f t="shared" si="0"/>
        <v>928993</v>
      </c>
      <c r="O18" s="84">
        <f t="shared" si="0"/>
        <v>928993</v>
      </c>
      <c r="P18" s="85">
        <f t="shared" si="1"/>
        <v>826806</v>
      </c>
      <c r="Q18" s="85">
        <f t="shared" si="2"/>
        <v>0</v>
      </c>
    </row>
    <row r="19" spans="1:17">
      <c r="A19" s="164">
        <v>2412</v>
      </c>
      <c r="B19" s="168" t="s">
        <v>14</v>
      </c>
      <c r="C19" s="57">
        <f>VLOOKUP(A19,'Contribution Allocation_Report'!$A$9:$D$311,4,FALSE)</f>
        <v>1.0448651468059008E-3</v>
      </c>
      <c r="E19" s="81">
        <f>VLOOKUP(A19,Contributions_21!$A$9:$D$310,4,FALSE)</f>
        <v>8.9470000000000001E-4</v>
      </c>
      <c r="F19" s="26"/>
      <c r="G19" s="82">
        <f t="shared" si="5"/>
        <v>659543</v>
      </c>
      <c r="H19" s="146">
        <f t="shared" si="3"/>
        <v>111977</v>
      </c>
      <c r="I19" s="146">
        <f t="shared" si="4"/>
        <v>547566</v>
      </c>
      <c r="J19" s="146"/>
      <c r="K19" s="25"/>
      <c r="L19" s="84">
        <f t="shared" si="0"/>
        <v>111977</v>
      </c>
      <c r="M19" s="84">
        <f t="shared" si="0"/>
        <v>111977</v>
      </c>
      <c r="N19" s="84">
        <f t="shared" si="0"/>
        <v>111977</v>
      </c>
      <c r="O19" s="84">
        <f t="shared" si="0"/>
        <v>111977</v>
      </c>
      <c r="P19" s="85">
        <f t="shared" si="1"/>
        <v>99658</v>
      </c>
      <c r="Q19" s="85">
        <f t="shared" si="2"/>
        <v>0</v>
      </c>
    </row>
    <row r="20" spans="1:17">
      <c r="A20" s="166">
        <v>2402</v>
      </c>
      <c r="B20" s="167" t="s">
        <v>15</v>
      </c>
      <c r="C20" s="56">
        <f>VLOOKUP(A20,'Contribution Allocation_Report'!$A$9:$D$311,4,FALSE)</f>
        <v>3.6276881556099848E-4</v>
      </c>
      <c r="E20" s="81">
        <f>VLOOKUP(A20,Contributions_21!$A$9:$D$310,4,FALSE)</f>
        <v>3.2009999999999997E-4</v>
      </c>
      <c r="F20" s="26"/>
      <c r="G20" s="82">
        <f t="shared" si="5"/>
        <v>187406</v>
      </c>
      <c r="H20" s="146">
        <f t="shared" si="3"/>
        <v>31818</v>
      </c>
      <c r="I20" s="146">
        <f t="shared" si="4"/>
        <v>155588</v>
      </c>
      <c r="J20" s="146"/>
      <c r="K20" s="25"/>
      <c r="L20" s="84">
        <f t="shared" si="0"/>
        <v>31818</v>
      </c>
      <c r="M20" s="84">
        <f t="shared" si="0"/>
        <v>31818</v>
      </c>
      <c r="N20" s="84">
        <f t="shared" si="0"/>
        <v>31818</v>
      </c>
      <c r="O20" s="84">
        <f t="shared" si="0"/>
        <v>31818</v>
      </c>
      <c r="P20" s="85">
        <f t="shared" si="1"/>
        <v>28316</v>
      </c>
      <c r="Q20" s="85">
        <f t="shared" si="2"/>
        <v>0</v>
      </c>
    </row>
    <row r="21" spans="1:17">
      <c r="A21" s="164">
        <v>2361</v>
      </c>
      <c r="B21" s="168" t="s">
        <v>16</v>
      </c>
      <c r="C21" s="57">
        <f>VLOOKUP(A21,'Contribution Allocation_Report'!$A$9:$D$311,4,FALSE)</f>
        <v>2.251800894376924E-4</v>
      </c>
      <c r="E21" s="81">
        <f>VLOOKUP(A21,Contributions_21!$A$9:$D$310,4,FALSE)</f>
        <v>2.0579999999999999E-4</v>
      </c>
      <c r="F21" s="26"/>
      <c r="G21" s="82">
        <f t="shared" si="5"/>
        <v>85120</v>
      </c>
      <c r="H21" s="146">
        <f t="shared" si="3"/>
        <v>14452</v>
      </c>
      <c r="I21" s="146">
        <f t="shared" si="4"/>
        <v>70668</v>
      </c>
      <c r="J21" s="146"/>
      <c r="K21" s="25"/>
      <c r="L21" s="84">
        <f t="shared" si="0"/>
        <v>14452</v>
      </c>
      <c r="M21" s="84">
        <f t="shared" si="0"/>
        <v>14452</v>
      </c>
      <c r="N21" s="84">
        <f t="shared" si="0"/>
        <v>14452</v>
      </c>
      <c r="O21" s="84">
        <f t="shared" si="0"/>
        <v>14452</v>
      </c>
      <c r="P21" s="85">
        <f t="shared" si="1"/>
        <v>12860</v>
      </c>
      <c r="Q21" s="85">
        <f t="shared" si="2"/>
        <v>0</v>
      </c>
    </row>
    <row r="22" spans="1:17">
      <c r="A22" s="166">
        <v>8347</v>
      </c>
      <c r="B22" s="167" t="s">
        <v>17</v>
      </c>
      <c r="C22" s="56">
        <f>VLOOKUP(A22,'Contribution Allocation_Report'!$A$9:$D$311,4,FALSE)</f>
        <v>2.6359113682505306E-4</v>
      </c>
      <c r="E22" s="81">
        <f>VLOOKUP(A22,Contributions_21!$A$9:$D$310,4,FALSE)</f>
        <v>2.9960000000000002E-4</v>
      </c>
      <c r="F22" s="26"/>
      <c r="G22" s="82">
        <f t="shared" si="5"/>
        <v>-158155</v>
      </c>
      <c r="H22" s="146">
        <f t="shared" si="3"/>
        <v>-26851</v>
      </c>
      <c r="I22" s="146">
        <f t="shared" si="4"/>
        <v>-131304</v>
      </c>
      <c r="J22" s="146"/>
      <c r="K22" s="25"/>
      <c r="L22" s="84">
        <f t="shared" si="0"/>
        <v>-26852</v>
      </c>
      <c r="M22" s="84">
        <f t="shared" si="0"/>
        <v>-26852</v>
      </c>
      <c r="N22" s="84">
        <f t="shared" si="0"/>
        <v>-26852</v>
      </c>
      <c r="O22" s="84">
        <f t="shared" si="0"/>
        <v>-26852</v>
      </c>
      <c r="P22" s="85">
        <f t="shared" si="1"/>
        <v>-23896</v>
      </c>
      <c r="Q22" s="85">
        <f t="shared" si="2"/>
        <v>0</v>
      </c>
    </row>
    <row r="23" spans="1:17">
      <c r="A23" s="164">
        <v>2356</v>
      </c>
      <c r="B23" s="168" t="s">
        <v>18</v>
      </c>
      <c r="C23" s="57">
        <f>VLOOKUP(A23,'Contribution Allocation_Report'!$A$9:$D$311,4,FALSE)</f>
        <v>5.8660028544664869E-4</v>
      </c>
      <c r="E23" s="81">
        <f>VLOOKUP(A23,Contributions_21!$A$9:$D$310,4,FALSE)</f>
        <v>5.6999999999999998E-4</v>
      </c>
      <c r="F23" s="26"/>
      <c r="G23" s="82">
        <f t="shared" si="5"/>
        <v>72910</v>
      </c>
      <c r="H23" s="146">
        <f t="shared" si="3"/>
        <v>12379</v>
      </c>
      <c r="I23" s="146">
        <f t="shared" si="4"/>
        <v>60531</v>
      </c>
      <c r="J23" s="146"/>
      <c r="K23" s="25"/>
      <c r="L23" s="84">
        <f t="shared" si="0"/>
        <v>12379</v>
      </c>
      <c r="M23" s="84">
        <f t="shared" si="0"/>
        <v>12379</v>
      </c>
      <c r="N23" s="84">
        <f t="shared" si="0"/>
        <v>12379</v>
      </c>
      <c r="O23" s="84">
        <f t="shared" si="0"/>
        <v>12379</v>
      </c>
      <c r="P23" s="85">
        <f t="shared" si="1"/>
        <v>11015</v>
      </c>
      <c r="Q23" s="85">
        <f t="shared" si="2"/>
        <v>0</v>
      </c>
    </row>
    <row r="24" spans="1:17">
      <c r="A24" s="166">
        <v>7335</v>
      </c>
      <c r="B24" s="167" t="s">
        <v>19</v>
      </c>
      <c r="C24" s="56">
        <f>VLOOKUP(A24,'Contribution Allocation_Report'!$A$9:$D$311,4,FALSE)</f>
        <v>2.6710542281103148E-4</v>
      </c>
      <c r="E24" s="81">
        <f>VLOOKUP(A24,Contributions_21!$A$9:$D$310,4,FALSE)</f>
        <v>2.152E-4</v>
      </c>
      <c r="F24" s="26"/>
      <c r="G24" s="82">
        <f t="shared" si="5"/>
        <v>227975</v>
      </c>
      <c r="H24" s="146">
        <f t="shared" si="3"/>
        <v>38705</v>
      </c>
      <c r="I24" s="146">
        <f t="shared" si="4"/>
        <v>189270</v>
      </c>
      <c r="J24" s="146"/>
      <c r="K24" s="25"/>
      <c r="L24" s="84">
        <f t="shared" si="0"/>
        <v>38706</v>
      </c>
      <c r="M24" s="84">
        <f t="shared" si="0"/>
        <v>38706</v>
      </c>
      <c r="N24" s="84">
        <f t="shared" si="0"/>
        <v>38706</v>
      </c>
      <c r="O24" s="84">
        <f t="shared" si="0"/>
        <v>38706</v>
      </c>
      <c r="P24" s="85">
        <f t="shared" si="1"/>
        <v>34446</v>
      </c>
      <c r="Q24" s="85">
        <f t="shared" si="2"/>
        <v>0</v>
      </c>
    </row>
    <row r="25" spans="1:17">
      <c r="A25" s="164">
        <v>575</v>
      </c>
      <c r="B25" s="168" t="s">
        <v>410</v>
      </c>
      <c r="C25" s="57">
        <f>VLOOKUP(A25,'Contribution Allocation_Report'!$A$9:$D$311,4,FALSE)</f>
        <v>2.005013360291549E-4</v>
      </c>
      <c r="E25" s="81">
        <f>VLOOKUP(A25,Contributions_21!$A$9:$D$310,4,FALSE)</f>
        <v>1.76E-4</v>
      </c>
      <c r="F25" s="26"/>
      <c r="G25" s="82">
        <f t="shared" si="5"/>
        <v>107613</v>
      </c>
      <c r="H25" s="146">
        <f t="shared" si="3"/>
        <v>18270</v>
      </c>
      <c r="I25" s="146">
        <f t="shared" si="4"/>
        <v>89343</v>
      </c>
      <c r="J25" s="146"/>
      <c r="K25" s="25"/>
      <c r="L25" s="84">
        <f t="shared" si="0"/>
        <v>18271</v>
      </c>
      <c r="M25" s="84">
        <f t="shared" si="0"/>
        <v>18271</v>
      </c>
      <c r="N25" s="84">
        <f t="shared" si="0"/>
        <v>18271</v>
      </c>
      <c r="O25" s="84">
        <f t="shared" si="0"/>
        <v>18271</v>
      </c>
      <c r="P25" s="85">
        <f t="shared" si="1"/>
        <v>16259</v>
      </c>
      <c r="Q25" s="85">
        <f t="shared" si="2"/>
        <v>0</v>
      </c>
    </row>
    <row r="26" spans="1:17">
      <c r="A26" s="166">
        <v>2303</v>
      </c>
      <c r="B26" s="167" t="s">
        <v>20</v>
      </c>
      <c r="C26" s="56">
        <f>VLOOKUP(A26,'Contribution Allocation_Report'!$A$9:$D$311,4,FALSE)</f>
        <v>4.1780627479798813E-4</v>
      </c>
      <c r="E26" s="81">
        <f>VLOOKUP(A26,Contributions_21!$A$9:$D$310,4,FALSE)</f>
        <v>4.4289999999999998E-4</v>
      </c>
      <c r="F26" s="26"/>
      <c r="G26" s="82">
        <f t="shared" si="5"/>
        <v>-110215</v>
      </c>
      <c r="H26" s="146">
        <f t="shared" si="3"/>
        <v>-18712</v>
      </c>
      <c r="I26" s="146">
        <f t="shared" si="4"/>
        <v>-91503</v>
      </c>
      <c r="J26" s="146"/>
      <c r="K26" s="25"/>
      <c r="L26" s="84">
        <f t="shared" si="0"/>
        <v>-18712</v>
      </c>
      <c r="M26" s="84">
        <f t="shared" si="0"/>
        <v>-18712</v>
      </c>
      <c r="N26" s="84">
        <f t="shared" si="0"/>
        <v>-18712</v>
      </c>
      <c r="O26" s="84">
        <f t="shared" si="0"/>
        <v>-18712</v>
      </c>
      <c r="P26" s="85">
        <f t="shared" si="1"/>
        <v>-16655</v>
      </c>
      <c r="Q26" s="85">
        <f t="shared" si="2"/>
        <v>0</v>
      </c>
    </row>
    <row r="27" spans="1:17">
      <c r="A27" s="164">
        <v>20316</v>
      </c>
      <c r="B27" s="168" t="s">
        <v>21</v>
      </c>
      <c r="C27" s="57">
        <f>VLOOKUP(A27,'Contribution Allocation_Report'!$A$9:$D$311,4,FALSE)</f>
        <v>2.629020611415279E-4</v>
      </c>
      <c r="E27" s="81">
        <f>VLOOKUP(A27,Contributions_21!$A$9:$D$310,4,FALSE)</f>
        <v>2.299E-4</v>
      </c>
      <c r="F27" s="26"/>
      <c r="G27" s="82">
        <f t="shared" si="5"/>
        <v>144949</v>
      </c>
      <c r="H27" s="146">
        <f t="shared" si="3"/>
        <v>24609</v>
      </c>
      <c r="I27" s="146">
        <f t="shared" si="4"/>
        <v>120340</v>
      </c>
      <c r="J27" s="146"/>
      <c r="K27" s="25"/>
      <c r="L27" s="84">
        <f t="shared" si="0"/>
        <v>24609</v>
      </c>
      <c r="M27" s="84">
        <f t="shared" si="0"/>
        <v>24609</v>
      </c>
      <c r="N27" s="84">
        <f t="shared" si="0"/>
        <v>24609</v>
      </c>
      <c r="O27" s="84">
        <f t="shared" si="0"/>
        <v>24609</v>
      </c>
      <c r="P27" s="85">
        <f t="shared" si="1"/>
        <v>21904</v>
      </c>
      <c r="Q27" s="85">
        <f t="shared" si="2"/>
        <v>0</v>
      </c>
    </row>
    <row r="28" spans="1:17">
      <c r="A28" s="166">
        <v>23121</v>
      </c>
      <c r="B28" s="167" t="s">
        <v>22</v>
      </c>
      <c r="C28" s="56">
        <f>VLOOKUP(A28,'Contribution Allocation_Report'!$A$9:$D$311,4,FALSE)</f>
        <v>3.0665836704537675E-4</v>
      </c>
      <c r="E28" s="81">
        <f>VLOOKUP(A28,Contributions_21!$A$9:$D$310,4,FALSE)</f>
        <v>2.8019999999999998E-4</v>
      </c>
      <c r="F28" s="26"/>
      <c r="G28" s="82">
        <f t="shared" si="5"/>
        <v>116208</v>
      </c>
      <c r="H28" s="146">
        <f t="shared" si="3"/>
        <v>19730</v>
      </c>
      <c r="I28" s="146">
        <f t="shared" si="4"/>
        <v>96478</v>
      </c>
      <c r="J28" s="146"/>
      <c r="K28" s="25"/>
      <c r="L28" s="84">
        <f t="shared" si="0"/>
        <v>19730</v>
      </c>
      <c r="M28" s="84">
        <f t="shared" si="0"/>
        <v>19730</v>
      </c>
      <c r="N28" s="84">
        <f t="shared" si="0"/>
        <v>19730</v>
      </c>
      <c r="O28" s="84">
        <f t="shared" si="0"/>
        <v>19730</v>
      </c>
      <c r="P28" s="85">
        <f t="shared" si="1"/>
        <v>17558</v>
      </c>
      <c r="Q28" s="85">
        <f t="shared" si="2"/>
        <v>0</v>
      </c>
    </row>
    <row r="29" spans="1:17">
      <c r="A29" s="164">
        <v>3004</v>
      </c>
      <c r="B29" s="168" t="s">
        <v>23</v>
      </c>
      <c r="C29" s="57">
        <f>VLOOKUP(A29,'Contribution Allocation_Report'!$A$9:$D$311,4,FALSE)</f>
        <v>4.7914877653923316E-3</v>
      </c>
      <c r="E29" s="81">
        <f>VLOOKUP(A29,Contributions_21!$A$9:$D$310,4,FALSE)</f>
        <v>4.9366999999999996E-3</v>
      </c>
      <c r="F29" s="26"/>
      <c r="G29" s="82">
        <f t="shared" si="5"/>
        <v>-637789</v>
      </c>
      <c r="H29" s="146">
        <f t="shared" si="3"/>
        <v>-108283</v>
      </c>
      <c r="I29" s="146">
        <f t="shared" si="4"/>
        <v>-529506</v>
      </c>
      <c r="J29" s="146"/>
      <c r="K29" s="25"/>
      <c r="L29" s="84">
        <f t="shared" si="0"/>
        <v>-108283</v>
      </c>
      <c r="M29" s="84">
        <f t="shared" si="0"/>
        <v>-108283</v>
      </c>
      <c r="N29" s="84">
        <f t="shared" si="0"/>
        <v>-108283</v>
      </c>
      <c r="O29" s="84">
        <f t="shared" si="0"/>
        <v>-108283</v>
      </c>
      <c r="P29" s="85">
        <f t="shared" si="1"/>
        <v>-96374</v>
      </c>
      <c r="Q29" s="85">
        <f t="shared" si="2"/>
        <v>0</v>
      </c>
    </row>
    <row r="30" spans="1:17">
      <c r="A30" s="166">
        <v>16050</v>
      </c>
      <c r="B30" s="167" t="s">
        <v>24</v>
      </c>
      <c r="C30" s="56">
        <f>VLOOKUP(A30,'Contribution Allocation_Report'!$A$9:$D$311,4,FALSE)</f>
        <v>3.2925118992050014E-3</v>
      </c>
      <c r="E30" s="81">
        <f>VLOOKUP(A30,Contributions_21!$A$9:$D$310,4,FALSE)</f>
        <v>3.3693E-3</v>
      </c>
      <c r="F30" s="26"/>
      <c r="G30" s="82">
        <f t="shared" si="5"/>
        <v>-337262</v>
      </c>
      <c r="H30" s="146">
        <f t="shared" si="3"/>
        <v>-57260</v>
      </c>
      <c r="I30" s="146">
        <f t="shared" si="4"/>
        <v>-280002</v>
      </c>
      <c r="J30" s="146"/>
      <c r="K30" s="25"/>
      <c r="L30" s="84">
        <f t="shared" si="0"/>
        <v>-57260</v>
      </c>
      <c r="M30" s="84">
        <f t="shared" si="0"/>
        <v>-57260</v>
      </c>
      <c r="N30" s="84">
        <f t="shared" si="0"/>
        <v>-57260</v>
      </c>
      <c r="O30" s="84">
        <f t="shared" si="0"/>
        <v>-57260</v>
      </c>
      <c r="P30" s="85">
        <f t="shared" si="1"/>
        <v>-50962</v>
      </c>
      <c r="Q30" s="85">
        <f t="shared" si="2"/>
        <v>0</v>
      </c>
    </row>
    <row r="31" spans="1:17">
      <c r="A31" s="164">
        <v>14043</v>
      </c>
      <c r="B31" s="168" t="s">
        <v>25</v>
      </c>
      <c r="C31" s="57">
        <f>VLOOKUP(A31,'Contribution Allocation_Report'!$A$9:$D$311,4,FALSE)</f>
        <v>4.7740246187841359E-3</v>
      </c>
      <c r="E31" s="81">
        <f>VLOOKUP(A31,Contributions_21!$A$9:$D$310,4,FALSE)</f>
        <v>4.6455000000000003E-3</v>
      </c>
      <c r="F31" s="26"/>
      <c r="G31" s="82">
        <f t="shared" si="5"/>
        <v>564495</v>
      </c>
      <c r="H31" s="146">
        <f t="shared" si="3"/>
        <v>95840</v>
      </c>
      <c r="I31" s="146">
        <f t="shared" si="4"/>
        <v>468655</v>
      </c>
      <c r="J31" s="146"/>
      <c r="K31" s="25"/>
      <c r="L31" s="84">
        <f t="shared" si="0"/>
        <v>95839</v>
      </c>
      <c r="M31" s="84">
        <f t="shared" si="0"/>
        <v>95839</v>
      </c>
      <c r="N31" s="84">
        <f t="shared" si="0"/>
        <v>95839</v>
      </c>
      <c r="O31" s="84">
        <f t="shared" si="0"/>
        <v>95839</v>
      </c>
      <c r="P31" s="85">
        <f t="shared" si="1"/>
        <v>85299</v>
      </c>
      <c r="Q31" s="85">
        <f t="shared" si="2"/>
        <v>0</v>
      </c>
    </row>
    <row r="32" spans="1:17">
      <c r="A32" s="166">
        <v>3010</v>
      </c>
      <c r="B32" s="167" t="s">
        <v>26</v>
      </c>
      <c r="C32" s="56">
        <f>VLOOKUP(A32,'Contribution Allocation_Report'!$A$9:$D$311,4,FALSE)</f>
        <v>2.8250557526213572E-2</v>
      </c>
      <c r="E32" s="81">
        <f>VLOOKUP(A32,Contributions_21!$A$9:$D$310,4,FALSE)</f>
        <v>2.9118000000000002E-2</v>
      </c>
      <c r="F32" s="26"/>
      <c r="G32" s="82">
        <f t="shared" si="5"/>
        <v>-3809909</v>
      </c>
      <c r="H32" s="146">
        <f t="shared" si="3"/>
        <v>-646844</v>
      </c>
      <c r="I32" s="146">
        <f t="shared" si="4"/>
        <v>-3163065</v>
      </c>
      <c r="J32" s="146"/>
      <c r="K32" s="25"/>
      <c r="L32" s="84">
        <f t="shared" si="0"/>
        <v>-646844</v>
      </c>
      <c r="M32" s="84">
        <f t="shared" si="0"/>
        <v>-646844</v>
      </c>
      <c r="N32" s="84">
        <f t="shared" si="0"/>
        <v>-646844</v>
      </c>
      <c r="O32" s="84">
        <f t="shared" si="0"/>
        <v>-646844</v>
      </c>
      <c r="P32" s="85">
        <f t="shared" si="1"/>
        <v>-575689</v>
      </c>
      <c r="Q32" s="85">
        <f t="shared" si="2"/>
        <v>0</v>
      </c>
    </row>
    <row r="33" spans="1:17">
      <c r="A33" s="164">
        <v>29086</v>
      </c>
      <c r="B33" s="168" t="s">
        <v>27</v>
      </c>
      <c r="C33" s="57">
        <f>VLOOKUP(A33,'Contribution Allocation_Report'!$A$9:$D$311,4,FALSE)</f>
        <v>4.3019979316310528E-3</v>
      </c>
      <c r="E33" s="81">
        <f>VLOOKUP(A33,Contributions_21!$A$9:$D$310,4,FALSE)</f>
        <v>4.3503999999999999E-3</v>
      </c>
      <c r="F33" s="26"/>
      <c r="G33" s="82">
        <f t="shared" si="5"/>
        <v>-212588</v>
      </c>
      <c r="H33" s="146">
        <f t="shared" si="3"/>
        <v>-36093</v>
      </c>
      <c r="I33" s="146">
        <f t="shared" si="4"/>
        <v>-176495</v>
      </c>
      <c r="J33" s="146"/>
      <c r="K33" s="25"/>
      <c r="L33" s="84">
        <f t="shared" si="0"/>
        <v>-36093</v>
      </c>
      <c r="M33" s="84">
        <f t="shared" si="0"/>
        <v>-36093</v>
      </c>
      <c r="N33" s="84">
        <f t="shared" si="0"/>
        <v>-36093</v>
      </c>
      <c r="O33" s="84">
        <f t="shared" si="0"/>
        <v>-36093</v>
      </c>
      <c r="P33" s="85">
        <f t="shared" si="1"/>
        <v>-32123</v>
      </c>
      <c r="Q33" s="85">
        <f t="shared" si="2"/>
        <v>0</v>
      </c>
    </row>
    <row r="34" spans="1:17">
      <c r="A34" s="166">
        <v>16051</v>
      </c>
      <c r="B34" s="167" t="s">
        <v>28</v>
      </c>
      <c r="C34" s="56">
        <f>VLOOKUP(A34,'Contribution Allocation_Report'!$A$9:$D$311,4,FALSE)</f>
        <v>3.6618170898211531E-3</v>
      </c>
      <c r="E34" s="81">
        <f>VLOOKUP(A34,Contributions_21!$A$9:$D$310,4,FALSE)</f>
        <v>3.7877000000000002E-3</v>
      </c>
      <c r="F34" s="26"/>
      <c r="G34" s="82">
        <f t="shared" si="5"/>
        <v>-552893</v>
      </c>
      <c r="H34" s="146">
        <f t="shared" si="3"/>
        <v>-93870</v>
      </c>
      <c r="I34" s="146">
        <f t="shared" si="4"/>
        <v>-459023</v>
      </c>
      <c r="J34" s="146"/>
      <c r="K34" s="25"/>
      <c r="L34" s="84">
        <f t="shared" si="0"/>
        <v>-93870</v>
      </c>
      <c r="M34" s="84">
        <f t="shared" si="0"/>
        <v>-93870</v>
      </c>
      <c r="N34" s="84">
        <f t="shared" si="0"/>
        <v>-93870</v>
      </c>
      <c r="O34" s="84">
        <f t="shared" si="0"/>
        <v>-93870</v>
      </c>
      <c r="P34" s="85">
        <f t="shared" si="1"/>
        <v>-83543</v>
      </c>
      <c r="Q34" s="85">
        <f t="shared" si="2"/>
        <v>0</v>
      </c>
    </row>
    <row r="35" spans="1:17">
      <c r="A35" s="164">
        <v>26077</v>
      </c>
      <c r="B35" s="168" t="s">
        <v>29</v>
      </c>
      <c r="C35" s="57">
        <f>VLOOKUP(A35,'Contribution Allocation_Report'!$A$9:$D$311,4,FALSE)</f>
        <v>7.252324690335786E-4</v>
      </c>
      <c r="E35" s="81">
        <f>VLOOKUP(A35,Contributions_21!$A$9:$D$310,4,FALSE)</f>
        <v>7.0989999999999996E-4</v>
      </c>
      <c r="F35" s="26"/>
      <c r="G35" s="82">
        <f t="shared" si="5"/>
        <v>67342</v>
      </c>
      <c r="H35" s="146">
        <f t="shared" si="3"/>
        <v>11433</v>
      </c>
      <c r="I35" s="146">
        <f t="shared" si="4"/>
        <v>55909</v>
      </c>
      <c r="J35" s="146"/>
      <c r="K35" s="25"/>
      <c r="L35" s="84">
        <f t="shared" si="0"/>
        <v>11433</v>
      </c>
      <c r="M35" s="84">
        <f t="shared" si="0"/>
        <v>11433</v>
      </c>
      <c r="N35" s="84">
        <f t="shared" si="0"/>
        <v>11433</v>
      </c>
      <c r="O35" s="84">
        <f t="shared" si="0"/>
        <v>11433</v>
      </c>
      <c r="P35" s="85">
        <f t="shared" si="1"/>
        <v>10177</v>
      </c>
      <c r="Q35" s="85">
        <f t="shared" si="2"/>
        <v>0</v>
      </c>
    </row>
    <row r="36" spans="1:17">
      <c r="A36" s="166">
        <v>3005</v>
      </c>
      <c r="B36" s="167" t="s">
        <v>30</v>
      </c>
      <c r="C36" s="56">
        <f>VLOOKUP(A36,'Contribution Allocation_Report'!$A$9:$D$311,4,FALSE)</f>
        <v>8.4882311484298749E-3</v>
      </c>
      <c r="E36" s="81">
        <f>VLOOKUP(A36,Contributions_21!$A$9:$D$310,4,FALSE)</f>
        <v>8.2824000000000005E-3</v>
      </c>
      <c r="F36" s="26"/>
      <c r="G36" s="82">
        <f t="shared" si="5"/>
        <v>904035</v>
      </c>
      <c r="H36" s="146">
        <f t="shared" si="3"/>
        <v>153486</v>
      </c>
      <c r="I36" s="146">
        <f t="shared" si="4"/>
        <v>750549</v>
      </c>
      <c r="J36" s="146"/>
      <c r="K36" s="25"/>
      <c r="L36" s="84">
        <f t="shared" si="0"/>
        <v>153487</v>
      </c>
      <c r="M36" s="84">
        <f t="shared" si="0"/>
        <v>153487</v>
      </c>
      <c r="N36" s="84">
        <f t="shared" si="0"/>
        <v>153487</v>
      </c>
      <c r="O36" s="84">
        <f t="shared" si="0"/>
        <v>153487</v>
      </c>
      <c r="P36" s="85">
        <f t="shared" si="1"/>
        <v>136601</v>
      </c>
      <c r="Q36" s="85">
        <f t="shared" si="2"/>
        <v>0</v>
      </c>
    </row>
    <row r="37" spans="1:17">
      <c r="A37" s="164">
        <v>26078</v>
      </c>
      <c r="B37" s="168" t="s">
        <v>31</v>
      </c>
      <c r="C37" s="57">
        <f>VLOOKUP(A37,'Contribution Allocation_Report'!$A$9:$D$311,4,FALSE)</f>
        <v>2.9439281987862857E-4</v>
      </c>
      <c r="E37" s="81">
        <f>VLOOKUP(A37,Contributions_21!$A$9:$D$310,4,FALSE)</f>
        <v>3.0850000000000002E-4</v>
      </c>
      <c r="F37" s="26"/>
      <c r="G37" s="82">
        <f t="shared" si="5"/>
        <v>-61960</v>
      </c>
      <c r="H37" s="146">
        <f t="shared" si="3"/>
        <v>-10520</v>
      </c>
      <c r="I37" s="146">
        <f t="shared" si="4"/>
        <v>-51440</v>
      </c>
      <c r="J37" s="146"/>
      <c r="K37" s="25"/>
      <c r="L37" s="84">
        <f t="shared" si="0"/>
        <v>-10519</v>
      </c>
      <c r="M37" s="84">
        <f t="shared" si="0"/>
        <v>-10519</v>
      </c>
      <c r="N37" s="84">
        <f t="shared" si="0"/>
        <v>-10519</v>
      </c>
      <c r="O37" s="84">
        <f t="shared" si="0"/>
        <v>-10519</v>
      </c>
      <c r="P37" s="85">
        <f t="shared" si="1"/>
        <v>-9364</v>
      </c>
      <c r="Q37" s="85">
        <f t="shared" si="2"/>
        <v>0</v>
      </c>
    </row>
    <row r="38" spans="1:17">
      <c r="A38" s="166">
        <v>16053</v>
      </c>
      <c r="B38" s="167" t="s">
        <v>32</v>
      </c>
      <c r="C38" s="56">
        <f>VLOOKUP(A38,'Contribution Allocation_Report'!$A$9:$D$311,4,FALSE)</f>
        <v>9.0711301130621605E-3</v>
      </c>
      <c r="E38" s="81">
        <f>VLOOKUP(A38,Contributions_21!$A$9:$D$310,4,FALSE)</f>
        <v>9.2488999999999991E-3</v>
      </c>
      <c r="F38" s="26"/>
      <c r="G38" s="82">
        <f t="shared" si="5"/>
        <v>-780786</v>
      </c>
      <c r="H38" s="146">
        <f t="shared" si="3"/>
        <v>-132561</v>
      </c>
      <c r="I38" s="146">
        <f t="shared" si="4"/>
        <v>-648225</v>
      </c>
      <c r="J38" s="146"/>
      <c r="K38" s="25"/>
      <c r="L38" s="84">
        <f t="shared" si="0"/>
        <v>-132561</v>
      </c>
      <c r="M38" s="84">
        <f t="shared" si="0"/>
        <v>-132561</v>
      </c>
      <c r="N38" s="84">
        <f t="shared" si="0"/>
        <v>-132561</v>
      </c>
      <c r="O38" s="84">
        <f t="shared" si="0"/>
        <v>-132561</v>
      </c>
      <c r="P38" s="85">
        <f t="shared" si="1"/>
        <v>-117981</v>
      </c>
      <c r="Q38" s="85">
        <f t="shared" si="2"/>
        <v>0</v>
      </c>
    </row>
    <row r="39" spans="1:17">
      <c r="A39" s="164">
        <v>2123</v>
      </c>
      <c r="B39" s="168" t="s">
        <v>33</v>
      </c>
      <c r="C39" s="57">
        <f>VLOOKUP(A39,'Contribution Allocation_Report'!$A$9:$D$311,4,FALSE)</f>
        <v>1.7466562454797864E-2</v>
      </c>
      <c r="E39" s="81">
        <f>VLOOKUP(A39,Contributions_21!$A$9:$D$310,4,FALSE)</f>
        <v>1.6607299999999998E-2</v>
      </c>
      <c r="F39" s="26"/>
      <c r="G39" s="82">
        <f t="shared" si="5"/>
        <v>3773982</v>
      </c>
      <c r="H39" s="146">
        <f t="shared" si="3"/>
        <v>640744</v>
      </c>
      <c r="I39" s="146">
        <f t="shared" si="4"/>
        <v>3133238</v>
      </c>
      <c r="J39" s="146"/>
      <c r="K39" s="25"/>
      <c r="L39" s="84">
        <f t="shared" si="0"/>
        <v>640744</v>
      </c>
      <c r="M39" s="84">
        <f t="shared" si="0"/>
        <v>640744</v>
      </c>
      <c r="N39" s="84">
        <f t="shared" si="0"/>
        <v>640744</v>
      </c>
      <c r="O39" s="84">
        <f t="shared" si="0"/>
        <v>640744</v>
      </c>
      <c r="P39" s="85">
        <f t="shared" si="1"/>
        <v>570262</v>
      </c>
      <c r="Q39" s="85">
        <f t="shared" si="2"/>
        <v>0</v>
      </c>
    </row>
    <row r="40" spans="1:17">
      <c r="A40" s="166">
        <v>2150</v>
      </c>
      <c r="B40" s="167" t="s">
        <v>34</v>
      </c>
      <c r="C40" s="56">
        <f>VLOOKUP(A40,'Contribution Allocation_Report'!$A$9:$D$311,4,FALSE)</f>
        <v>7.7663751502455702E-4</v>
      </c>
      <c r="E40" s="81">
        <f>VLOOKUP(A40,Contributions_21!$A$9:$D$310,4,FALSE)</f>
        <v>8.0309999999999995E-4</v>
      </c>
      <c r="F40" s="26"/>
      <c r="G40" s="82">
        <f t="shared" si="5"/>
        <v>-116226</v>
      </c>
      <c r="H40" s="146">
        <f t="shared" si="3"/>
        <v>-19733</v>
      </c>
      <c r="I40" s="146">
        <f t="shared" si="4"/>
        <v>-96493</v>
      </c>
      <c r="J40" s="146"/>
      <c r="K40" s="25"/>
      <c r="L40" s="84">
        <f t="shared" si="0"/>
        <v>-19733</v>
      </c>
      <c r="M40" s="84">
        <f t="shared" si="0"/>
        <v>-19733</v>
      </c>
      <c r="N40" s="84">
        <f t="shared" si="0"/>
        <v>-19733</v>
      </c>
      <c r="O40" s="84">
        <f t="shared" si="0"/>
        <v>-19733</v>
      </c>
      <c r="P40" s="85">
        <f t="shared" si="1"/>
        <v>-17561</v>
      </c>
      <c r="Q40" s="85">
        <f t="shared" si="2"/>
        <v>0</v>
      </c>
    </row>
    <row r="41" spans="1:17">
      <c r="A41" s="164">
        <v>2336</v>
      </c>
      <c r="B41" s="168" t="s">
        <v>35</v>
      </c>
      <c r="C41" s="57">
        <f>VLOOKUP(A41,'Contribution Allocation_Report'!$A$9:$D$311,4,FALSE)</f>
        <v>2.3155896147946834E-4</v>
      </c>
      <c r="E41" s="81">
        <f>VLOOKUP(A41,Contributions_21!$A$9:$D$310,4,FALSE)</f>
        <v>2.366E-4</v>
      </c>
      <c r="F41" s="26"/>
      <c r="G41" s="82">
        <f t="shared" si="5"/>
        <v>-22141</v>
      </c>
      <c r="H41" s="146">
        <f t="shared" si="3"/>
        <v>-3759</v>
      </c>
      <c r="I41" s="146">
        <f t="shared" si="4"/>
        <v>-18382</v>
      </c>
      <c r="J41" s="146"/>
      <c r="K41" s="25"/>
      <c r="L41" s="84">
        <f t="shared" si="0"/>
        <v>-3759</v>
      </c>
      <c r="M41" s="84">
        <f t="shared" si="0"/>
        <v>-3759</v>
      </c>
      <c r="N41" s="84">
        <f t="shared" si="0"/>
        <v>-3759</v>
      </c>
      <c r="O41" s="84">
        <f t="shared" si="0"/>
        <v>-3759</v>
      </c>
      <c r="P41" s="85">
        <f t="shared" si="1"/>
        <v>-3346</v>
      </c>
      <c r="Q41" s="85">
        <f t="shared" si="2"/>
        <v>0</v>
      </c>
    </row>
    <row r="42" spans="1:17">
      <c r="A42" s="166">
        <v>17126</v>
      </c>
      <c r="B42" s="167" t="s">
        <v>36</v>
      </c>
      <c r="C42" s="56">
        <f>VLOOKUP(A42,'Contribution Allocation_Report'!$A$9:$D$311,4,FALSE)</f>
        <v>6.815647585747544E-4</v>
      </c>
      <c r="E42" s="81">
        <f>VLOOKUP(A42,Contributions_21!$A$9:$D$310,4,FALSE)</f>
        <v>6.7829999999999995E-4</v>
      </c>
      <c r="F42" s="26"/>
      <c r="G42" s="82">
        <f t="shared" si="5"/>
        <v>14339</v>
      </c>
      <c r="H42" s="146">
        <f t="shared" si="3"/>
        <v>2434</v>
      </c>
      <c r="I42" s="146">
        <f t="shared" si="4"/>
        <v>11905</v>
      </c>
      <c r="J42" s="146"/>
      <c r="K42" s="25"/>
      <c r="L42" s="84">
        <f t="shared" si="0"/>
        <v>2435</v>
      </c>
      <c r="M42" s="84">
        <f t="shared" si="0"/>
        <v>2435</v>
      </c>
      <c r="N42" s="84">
        <f t="shared" si="0"/>
        <v>2435</v>
      </c>
      <c r="O42" s="84">
        <f t="shared" si="0"/>
        <v>2435</v>
      </c>
      <c r="P42" s="85">
        <f t="shared" si="1"/>
        <v>2165</v>
      </c>
      <c r="Q42" s="85">
        <f t="shared" si="2"/>
        <v>0</v>
      </c>
    </row>
    <row r="43" spans="1:17">
      <c r="A43" s="164">
        <v>3030</v>
      </c>
      <c r="B43" s="168" t="s">
        <v>37</v>
      </c>
      <c r="C43" s="57">
        <f>VLOOKUP(A43,'Contribution Allocation_Report'!$A$9:$D$311,4,FALSE)</f>
        <v>1.9423271609674299E-3</v>
      </c>
      <c r="E43" s="81">
        <f>VLOOKUP(A43,Contributions_21!$A$9:$D$310,4,FALSE)</f>
        <v>2.1254999999999998E-3</v>
      </c>
      <c r="F43" s="26"/>
      <c r="G43" s="82">
        <f t="shared" si="5"/>
        <v>-804517</v>
      </c>
      <c r="H43" s="146">
        <f t="shared" si="3"/>
        <v>-136590</v>
      </c>
      <c r="I43" s="146">
        <f t="shared" si="4"/>
        <v>-667927</v>
      </c>
      <c r="J43" s="146"/>
      <c r="K43" s="25"/>
      <c r="L43" s="84">
        <f t="shared" si="0"/>
        <v>-136590</v>
      </c>
      <c r="M43" s="84">
        <f t="shared" si="0"/>
        <v>-136590</v>
      </c>
      <c r="N43" s="84">
        <f t="shared" si="0"/>
        <v>-136590</v>
      </c>
      <c r="O43" s="84">
        <f t="shared" si="0"/>
        <v>-136590</v>
      </c>
      <c r="P43" s="85">
        <f t="shared" si="1"/>
        <v>-121567</v>
      </c>
      <c r="Q43" s="85">
        <f t="shared" si="2"/>
        <v>0</v>
      </c>
    </row>
    <row r="44" spans="1:17">
      <c r="A44" s="166">
        <v>2353</v>
      </c>
      <c r="B44" s="167" t="s">
        <v>38</v>
      </c>
      <c r="C44" s="56">
        <f>VLOOKUP(A44,'Contribution Allocation_Report'!$A$9:$D$311,4,FALSE)</f>
        <v>6.3543606353191179E-4</v>
      </c>
      <c r="E44" s="81">
        <f>VLOOKUP(A44,Contributions_21!$A$9:$D$310,4,FALSE)</f>
        <v>4.214E-4</v>
      </c>
      <c r="F44" s="26"/>
      <c r="G44" s="82">
        <f t="shared" si="5"/>
        <v>940072</v>
      </c>
      <c r="H44" s="146">
        <f t="shared" si="3"/>
        <v>159605</v>
      </c>
      <c r="I44" s="146">
        <f t="shared" si="4"/>
        <v>780467</v>
      </c>
      <c r="J44" s="146"/>
      <c r="K44" s="25"/>
      <c r="L44" s="84">
        <f t="shared" si="0"/>
        <v>159605</v>
      </c>
      <c r="M44" s="84">
        <f t="shared" si="0"/>
        <v>159605</v>
      </c>
      <c r="N44" s="84">
        <f t="shared" si="0"/>
        <v>159605</v>
      </c>
      <c r="O44" s="84">
        <f t="shared" si="0"/>
        <v>159605</v>
      </c>
      <c r="P44" s="85">
        <f t="shared" si="1"/>
        <v>142047</v>
      </c>
      <c r="Q44" s="85">
        <f t="shared" si="2"/>
        <v>0</v>
      </c>
    </row>
    <row r="45" spans="1:17">
      <c r="A45" s="164">
        <v>3040</v>
      </c>
      <c r="B45" s="168" t="s">
        <v>39</v>
      </c>
      <c r="C45" s="57">
        <f>VLOOKUP(A45,'Contribution Allocation_Report'!$A$9:$D$311,4,FALSE)</f>
        <v>7.5972562896318193E-4</v>
      </c>
      <c r="E45" s="81">
        <f>VLOOKUP(A45,Contributions_21!$A$9:$D$310,4,FALSE)</f>
        <v>7.4660000000000004E-4</v>
      </c>
      <c r="F45" s="26"/>
      <c r="G45" s="82">
        <f t="shared" si="5"/>
        <v>57649</v>
      </c>
      <c r="H45" s="146">
        <f t="shared" si="3"/>
        <v>9788</v>
      </c>
      <c r="I45" s="146">
        <f t="shared" si="4"/>
        <v>47861</v>
      </c>
      <c r="J45" s="146"/>
      <c r="K45" s="25"/>
      <c r="L45" s="84">
        <f t="shared" si="0"/>
        <v>9788</v>
      </c>
      <c r="M45" s="84">
        <f t="shared" si="0"/>
        <v>9788</v>
      </c>
      <c r="N45" s="84">
        <f t="shared" si="0"/>
        <v>9788</v>
      </c>
      <c r="O45" s="84">
        <f t="shared" si="0"/>
        <v>9788</v>
      </c>
      <c r="P45" s="85">
        <f t="shared" si="1"/>
        <v>8709</v>
      </c>
      <c r="Q45" s="85">
        <f t="shared" si="2"/>
        <v>0</v>
      </c>
    </row>
    <row r="46" spans="1:17">
      <c r="A46" s="166">
        <v>2367</v>
      </c>
      <c r="B46" s="167" t="s">
        <v>40</v>
      </c>
      <c r="C46" s="56">
        <f>VLOOKUP(A46,'Contribution Allocation_Report'!$A$9:$D$311,4,FALSE)</f>
        <v>5.393592253718297E-4</v>
      </c>
      <c r="E46" s="81">
        <f>VLOOKUP(A46,Contributions_21!$A$9:$D$310,4,FALSE)</f>
        <v>5.0679999999999996E-4</v>
      </c>
      <c r="F46" s="26"/>
      <c r="G46" s="82">
        <f t="shared" si="5"/>
        <v>143004</v>
      </c>
      <c r="H46" s="146">
        <f t="shared" si="3"/>
        <v>24279</v>
      </c>
      <c r="I46" s="146">
        <f t="shared" si="4"/>
        <v>118725</v>
      </c>
      <c r="J46" s="146"/>
      <c r="K46" s="25"/>
      <c r="L46" s="84">
        <f t="shared" si="0"/>
        <v>24279</v>
      </c>
      <c r="M46" s="84">
        <f t="shared" si="0"/>
        <v>24279</v>
      </c>
      <c r="N46" s="84">
        <f t="shared" si="0"/>
        <v>24279</v>
      </c>
      <c r="O46" s="84">
        <f t="shared" si="0"/>
        <v>24279</v>
      </c>
      <c r="P46" s="85">
        <f t="shared" si="1"/>
        <v>21609</v>
      </c>
      <c r="Q46" s="85">
        <f t="shared" si="2"/>
        <v>0</v>
      </c>
    </row>
    <row r="47" spans="1:17">
      <c r="A47" s="164">
        <v>9027</v>
      </c>
      <c r="B47" s="168" t="s">
        <v>41</v>
      </c>
      <c r="C47" s="57">
        <f>VLOOKUP(A47,'Contribution Allocation_Report'!$A$9:$D$311,4,FALSE)</f>
        <v>7.5412442804995573E-4</v>
      </c>
      <c r="E47" s="81">
        <f>VLOOKUP(A47,Contributions_21!$A$9:$D$310,4,FALSE)</f>
        <v>7.4260000000000005E-4</v>
      </c>
      <c r="F47" s="26"/>
      <c r="G47" s="82">
        <f t="shared" si="5"/>
        <v>50617</v>
      </c>
      <c r="H47" s="146">
        <f t="shared" si="3"/>
        <v>8594</v>
      </c>
      <c r="I47" s="146">
        <f t="shared" si="4"/>
        <v>42023</v>
      </c>
      <c r="J47" s="146"/>
      <c r="K47" s="25"/>
      <c r="L47" s="84">
        <f t="shared" si="0"/>
        <v>8594</v>
      </c>
      <c r="M47" s="84">
        <f t="shared" si="0"/>
        <v>8594</v>
      </c>
      <c r="N47" s="84">
        <f t="shared" si="0"/>
        <v>8594</v>
      </c>
      <c r="O47" s="84">
        <f t="shared" si="0"/>
        <v>8594</v>
      </c>
      <c r="P47" s="85">
        <f t="shared" si="1"/>
        <v>7647</v>
      </c>
      <c r="Q47" s="85">
        <f t="shared" si="2"/>
        <v>0</v>
      </c>
    </row>
    <row r="48" spans="1:17">
      <c r="A48" s="166">
        <v>2010</v>
      </c>
      <c r="B48" s="167" t="s">
        <v>42</v>
      </c>
      <c r="C48" s="56">
        <f>VLOOKUP(A48,'Contribution Allocation_Report'!$A$9:$D$311,4,FALSE)</f>
        <v>2.7271351448109283E-3</v>
      </c>
      <c r="E48" s="81">
        <f>VLOOKUP(A48,Contributions_21!$A$9:$D$310,4,FALSE)</f>
        <v>2.6776E-3</v>
      </c>
      <c r="F48" s="26"/>
      <c r="G48" s="82">
        <f t="shared" si="5"/>
        <v>217564</v>
      </c>
      <c r="H48" s="146">
        <f t="shared" si="3"/>
        <v>36938</v>
      </c>
      <c r="I48" s="146">
        <f t="shared" si="4"/>
        <v>180626</v>
      </c>
      <c r="J48" s="146"/>
      <c r="K48" s="25"/>
      <c r="L48" s="84">
        <f t="shared" si="0"/>
        <v>36938</v>
      </c>
      <c r="M48" s="84">
        <f t="shared" si="0"/>
        <v>36938</v>
      </c>
      <c r="N48" s="84">
        <f t="shared" si="0"/>
        <v>36938</v>
      </c>
      <c r="O48" s="84">
        <f t="shared" si="0"/>
        <v>36938</v>
      </c>
      <c r="P48" s="85">
        <f t="shared" si="1"/>
        <v>32874</v>
      </c>
      <c r="Q48" s="85">
        <f t="shared" si="2"/>
        <v>0</v>
      </c>
    </row>
    <row r="49" spans="1:17">
      <c r="A49" s="164">
        <v>2020</v>
      </c>
      <c r="B49" s="168" t="s">
        <v>43</v>
      </c>
      <c r="C49" s="57">
        <f>VLOOKUP(A49,'Contribution Allocation_Report'!$A$9:$D$311,4,FALSE)</f>
        <v>6.8171340204362912E-2</v>
      </c>
      <c r="E49" s="81">
        <f>VLOOKUP(A49,Contributions_21!$A$9:$D$310,4,FALSE)</f>
        <v>6.9247400000000001E-2</v>
      </c>
      <c r="F49" s="26"/>
      <c r="G49" s="82">
        <f t="shared" si="5"/>
        <v>-4726181</v>
      </c>
      <c r="H49" s="146">
        <f t="shared" si="3"/>
        <v>-802408</v>
      </c>
      <c r="I49" s="146">
        <f t="shared" si="4"/>
        <v>-3923773</v>
      </c>
      <c r="J49" s="146"/>
      <c r="K49" s="25"/>
      <c r="L49" s="84">
        <f t="shared" si="0"/>
        <v>-802408</v>
      </c>
      <c r="M49" s="84">
        <f t="shared" si="0"/>
        <v>-802408</v>
      </c>
      <c r="N49" s="84">
        <f t="shared" si="0"/>
        <v>-802408</v>
      </c>
      <c r="O49" s="84">
        <f t="shared" si="0"/>
        <v>-802408</v>
      </c>
      <c r="P49" s="85">
        <f t="shared" si="1"/>
        <v>-714141</v>
      </c>
      <c r="Q49" s="85">
        <f t="shared" si="2"/>
        <v>0</v>
      </c>
    </row>
    <row r="50" spans="1:17">
      <c r="A50" s="166">
        <v>2040</v>
      </c>
      <c r="B50" s="167" t="s">
        <v>44</v>
      </c>
      <c r="C50" s="56">
        <f>VLOOKUP(A50,'Contribution Allocation_Report'!$A$9:$D$311,4,FALSE)</f>
        <v>9.3976141719163899E-4</v>
      </c>
      <c r="E50" s="81">
        <f>VLOOKUP(A50,Contributions_21!$A$9:$D$310,4,FALSE)</f>
        <v>8.8509999999999999E-4</v>
      </c>
      <c r="F50" s="26"/>
      <c r="G50" s="82">
        <f t="shared" si="5"/>
        <v>240079</v>
      </c>
      <c r="H50" s="146">
        <f t="shared" si="3"/>
        <v>40760</v>
      </c>
      <c r="I50" s="146">
        <f t="shared" si="4"/>
        <v>199319</v>
      </c>
      <c r="J50" s="146"/>
      <c r="K50" s="25"/>
      <c r="L50" s="84">
        <f t="shared" si="0"/>
        <v>40761</v>
      </c>
      <c r="M50" s="84">
        <f t="shared" si="0"/>
        <v>40761</v>
      </c>
      <c r="N50" s="84">
        <f t="shared" si="0"/>
        <v>40761</v>
      </c>
      <c r="O50" s="84">
        <f t="shared" si="0"/>
        <v>40761</v>
      </c>
      <c r="P50" s="85">
        <f t="shared" si="1"/>
        <v>36275</v>
      </c>
      <c r="Q50" s="85">
        <f t="shared" si="2"/>
        <v>0</v>
      </c>
    </row>
    <row r="51" spans="1:17">
      <c r="A51" s="164">
        <v>2060</v>
      </c>
      <c r="B51" s="168" t="s">
        <v>45</v>
      </c>
      <c r="C51" s="57">
        <f>VLOOKUP(A51,'Contribution Allocation_Report'!$A$9:$D$311,4,FALSE)</f>
        <v>1.0076452159572052E-3</v>
      </c>
      <c r="E51" s="81">
        <f>VLOOKUP(A51,Contributions_21!$A$9:$D$310,4,FALSE)</f>
        <v>9.3939999999999996E-4</v>
      </c>
      <c r="F51" s="26"/>
      <c r="G51" s="82">
        <f t="shared" si="5"/>
        <v>299741</v>
      </c>
      <c r="H51" s="146">
        <f t="shared" si="3"/>
        <v>50890</v>
      </c>
      <c r="I51" s="146">
        <f t="shared" si="4"/>
        <v>248851</v>
      </c>
      <c r="J51" s="146"/>
      <c r="K51" s="25"/>
      <c r="L51" s="84">
        <f t="shared" si="0"/>
        <v>50890</v>
      </c>
      <c r="M51" s="84">
        <f t="shared" si="0"/>
        <v>50890</v>
      </c>
      <c r="N51" s="84">
        <f t="shared" si="0"/>
        <v>50890</v>
      </c>
      <c r="O51" s="84">
        <f t="shared" si="0"/>
        <v>50890</v>
      </c>
      <c r="P51" s="85">
        <f t="shared" si="1"/>
        <v>45291</v>
      </c>
      <c r="Q51" s="85">
        <f t="shared" si="2"/>
        <v>0</v>
      </c>
    </row>
    <row r="52" spans="1:17">
      <c r="A52" s="166">
        <v>2090</v>
      </c>
      <c r="B52" s="167" t="s">
        <v>46</v>
      </c>
      <c r="C52" s="56">
        <f>VLOOKUP(A52,'Contribution Allocation_Report'!$A$9:$D$311,4,FALSE)</f>
        <v>7.5170281921928153E-4</v>
      </c>
      <c r="E52" s="81">
        <f>VLOOKUP(A52,Contributions_21!$A$9:$D$310,4,FALSE)</f>
        <v>7.2550000000000002E-4</v>
      </c>
      <c r="F52" s="26"/>
      <c r="G52" s="82">
        <f t="shared" si="5"/>
        <v>115086</v>
      </c>
      <c r="H52" s="146">
        <f t="shared" si="3"/>
        <v>19539</v>
      </c>
      <c r="I52" s="146">
        <f t="shared" si="4"/>
        <v>95547</v>
      </c>
      <c r="J52" s="146"/>
      <c r="K52" s="25"/>
      <c r="L52" s="84">
        <f t="shared" si="0"/>
        <v>19539</v>
      </c>
      <c r="M52" s="84">
        <f t="shared" si="0"/>
        <v>19539</v>
      </c>
      <c r="N52" s="84">
        <f t="shared" si="0"/>
        <v>19539</v>
      </c>
      <c r="O52" s="84">
        <f t="shared" si="0"/>
        <v>19539</v>
      </c>
      <c r="P52" s="85">
        <f t="shared" si="1"/>
        <v>17391</v>
      </c>
      <c r="Q52" s="85">
        <f t="shared" si="2"/>
        <v>0</v>
      </c>
    </row>
    <row r="53" spans="1:17">
      <c r="A53" s="164">
        <v>2110</v>
      </c>
      <c r="B53" s="165" t="s">
        <v>47</v>
      </c>
      <c r="C53" s="66">
        <f>VLOOKUP(A53,'Contribution Allocation_Report'!$A$9:$D$311,4,FALSE)</f>
        <v>6.0210941029513326E-3</v>
      </c>
      <c r="E53" s="81">
        <f>VLOOKUP(A53,Contributions_21!$A$9:$D$310,4,FALSE)</f>
        <v>6.1808999999999996E-3</v>
      </c>
      <c r="F53" s="26"/>
      <c r="G53" s="82">
        <f t="shared" si="5"/>
        <v>-701886</v>
      </c>
      <c r="H53" s="146">
        <f t="shared" si="3"/>
        <v>-119166</v>
      </c>
      <c r="I53" s="146">
        <f t="shared" si="4"/>
        <v>-582720</v>
      </c>
      <c r="J53" s="146"/>
      <c r="K53" s="25"/>
      <c r="L53" s="84">
        <f t="shared" si="0"/>
        <v>-119166</v>
      </c>
      <c r="M53" s="84">
        <f t="shared" si="0"/>
        <v>-119166</v>
      </c>
      <c r="N53" s="84">
        <f t="shared" si="0"/>
        <v>-119166</v>
      </c>
      <c r="O53" s="84">
        <f t="shared" si="0"/>
        <v>-119166</v>
      </c>
      <c r="P53" s="85">
        <f t="shared" si="1"/>
        <v>-106056</v>
      </c>
      <c r="Q53" s="85">
        <f t="shared" si="2"/>
        <v>0</v>
      </c>
    </row>
    <row r="54" spans="1:17">
      <c r="A54" s="166">
        <v>2180</v>
      </c>
      <c r="B54" s="167" t="s">
        <v>48</v>
      </c>
      <c r="C54" s="56">
        <f>VLOOKUP(A54,'Contribution Allocation_Report'!$A$9:$D$311,4,FALSE)</f>
        <v>2.872638397356438E-3</v>
      </c>
      <c r="E54" s="81">
        <f>VLOOKUP(A54,Contributions_21!$A$9:$D$310,4,FALSE)</f>
        <v>2.8750999999999998E-3</v>
      </c>
      <c r="F54" s="26"/>
      <c r="G54" s="82">
        <f t="shared" si="5"/>
        <v>-10812</v>
      </c>
      <c r="H54" s="146">
        <f t="shared" si="3"/>
        <v>-1836</v>
      </c>
      <c r="I54" s="146">
        <f t="shared" si="4"/>
        <v>-8976</v>
      </c>
      <c r="J54" s="146"/>
      <c r="K54" s="25"/>
      <c r="L54" s="84">
        <f t="shared" si="0"/>
        <v>-1836</v>
      </c>
      <c r="M54" s="84">
        <f t="shared" si="0"/>
        <v>-1836</v>
      </c>
      <c r="N54" s="84">
        <f t="shared" si="0"/>
        <v>-1836</v>
      </c>
      <c r="O54" s="84">
        <f t="shared" si="0"/>
        <v>-1836</v>
      </c>
      <c r="P54" s="85">
        <f t="shared" si="1"/>
        <v>-1632</v>
      </c>
      <c r="Q54" s="85">
        <f t="shared" si="2"/>
        <v>0</v>
      </c>
    </row>
    <row r="55" spans="1:17">
      <c r="A55" s="164">
        <v>2210</v>
      </c>
      <c r="B55" s="168" t="s">
        <v>49</v>
      </c>
      <c r="C55" s="57">
        <f>VLOOKUP(A55,'Contribution Allocation_Report'!$A$9:$D$311,4,FALSE)</f>
        <v>1.2689131833349449E-3</v>
      </c>
      <c r="E55" s="81">
        <f>VLOOKUP(A55,Contributions_21!$A$9:$D$310,4,FALSE)</f>
        <v>1.3676999999999999E-3</v>
      </c>
      <c r="F55" s="26"/>
      <c r="G55" s="82">
        <f t="shared" si="5"/>
        <v>-433883</v>
      </c>
      <c r="H55" s="146">
        <f t="shared" si="3"/>
        <v>-73664</v>
      </c>
      <c r="I55" s="146">
        <f t="shared" si="4"/>
        <v>-360219</v>
      </c>
      <c r="J55" s="146"/>
      <c r="K55" s="25"/>
      <c r="L55" s="84">
        <f t="shared" si="0"/>
        <v>-73664</v>
      </c>
      <c r="M55" s="84">
        <f t="shared" si="0"/>
        <v>-73664</v>
      </c>
      <c r="N55" s="84">
        <f t="shared" si="0"/>
        <v>-73664</v>
      </c>
      <c r="O55" s="84">
        <f t="shared" si="0"/>
        <v>-73664</v>
      </c>
      <c r="P55" s="85">
        <f t="shared" si="1"/>
        <v>-65563</v>
      </c>
      <c r="Q55" s="85">
        <f t="shared" si="2"/>
        <v>0</v>
      </c>
    </row>
    <row r="56" spans="1:17">
      <c r="A56" s="166">
        <v>2290</v>
      </c>
      <c r="B56" s="167" t="s">
        <v>50</v>
      </c>
      <c r="C56" s="56">
        <f>VLOOKUP(A56,'Contribution Allocation_Report'!$A$9:$D$311,4,FALSE)</f>
        <v>1.3200524429908492E-3</v>
      </c>
      <c r="E56" s="81">
        <f>VLOOKUP(A56,Contributions_21!$A$9:$D$310,4,FALSE)</f>
        <v>1.3441E-3</v>
      </c>
      <c r="F56" s="26"/>
      <c r="G56" s="82">
        <f t="shared" si="5"/>
        <v>-105620</v>
      </c>
      <c r="H56" s="146">
        <f t="shared" si="3"/>
        <v>-17932</v>
      </c>
      <c r="I56" s="146">
        <f t="shared" si="4"/>
        <v>-87688</v>
      </c>
      <c r="J56" s="146"/>
      <c r="K56" s="25"/>
      <c r="L56" s="84">
        <f t="shared" si="0"/>
        <v>-17932</v>
      </c>
      <c r="M56" s="84">
        <f t="shared" si="0"/>
        <v>-17932</v>
      </c>
      <c r="N56" s="84">
        <f t="shared" si="0"/>
        <v>-17932</v>
      </c>
      <c r="O56" s="84">
        <f t="shared" si="0"/>
        <v>-17932</v>
      </c>
      <c r="P56" s="85">
        <f t="shared" si="1"/>
        <v>-15960</v>
      </c>
      <c r="Q56" s="85">
        <f t="shared" si="2"/>
        <v>0</v>
      </c>
    </row>
    <row r="57" spans="1:17">
      <c r="A57" s="164">
        <v>2310</v>
      </c>
      <c r="B57" s="168" t="s">
        <v>51</v>
      </c>
      <c r="C57" s="57">
        <f>VLOOKUP(A57,'Contribution Allocation_Report'!$A$9:$D$311,4,FALSE)</f>
        <v>9.2379454921052689E-3</v>
      </c>
      <c r="E57" s="81">
        <f>VLOOKUP(A57,Contributions_21!$A$9:$D$310,4,FALSE)</f>
        <v>9.4379000000000008E-3</v>
      </c>
      <c r="F57" s="26"/>
      <c r="G57" s="82">
        <f t="shared" si="5"/>
        <v>-878224</v>
      </c>
      <c r="H57" s="146">
        <f t="shared" si="3"/>
        <v>-149104</v>
      </c>
      <c r="I57" s="146">
        <f t="shared" si="4"/>
        <v>-729120</v>
      </c>
      <c r="J57" s="146"/>
      <c r="K57" s="25"/>
      <c r="L57" s="84">
        <f t="shared" si="0"/>
        <v>-149104</v>
      </c>
      <c r="M57" s="84">
        <f t="shared" si="0"/>
        <v>-149104</v>
      </c>
      <c r="N57" s="84">
        <f t="shared" si="0"/>
        <v>-149104</v>
      </c>
      <c r="O57" s="84">
        <f t="shared" si="0"/>
        <v>-149104</v>
      </c>
      <c r="P57" s="85">
        <f t="shared" si="1"/>
        <v>-132704</v>
      </c>
      <c r="Q57" s="85">
        <f t="shared" si="2"/>
        <v>0</v>
      </c>
    </row>
    <row r="58" spans="1:17">
      <c r="A58" s="166">
        <v>2330</v>
      </c>
      <c r="B58" s="167" t="s">
        <v>52</v>
      </c>
      <c r="C58" s="56">
        <f>VLOOKUP(A58,'Contribution Allocation_Report'!$A$9:$D$311,4,FALSE)</f>
        <v>3.2916357886930911E-3</v>
      </c>
      <c r="E58" s="81">
        <f>VLOOKUP(A58,Contributions_21!$A$9:$D$310,4,FALSE)</f>
        <v>3.1703E-3</v>
      </c>
      <c r="F58" s="26"/>
      <c r="G58" s="82">
        <f t="shared" si="5"/>
        <v>532921</v>
      </c>
      <c r="H58" s="146">
        <f t="shared" si="3"/>
        <v>90479</v>
      </c>
      <c r="I58" s="146">
        <f t="shared" si="4"/>
        <v>442442</v>
      </c>
      <c r="J58" s="146"/>
      <c r="K58" s="25"/>
      <c r="L58" s="84">
        <f t="shared" si="0"/>
        <v>90479</v>
      </c>
      <c r="M58" s="84">
        <f t="shared" si="0"/>
        <v>90479</v>
      </c>
      <c r="N58" s="84">
        <f t="shared" si="0"/>
        <v>90479</v>
      </c>
      <c r="O58" s="84">
        <f t="shared" si="0"/>
        <v>90479</v>
      </c>
      <c r="P58" s="85">
        <f t="shared" si="1"/>
        <v>80526</v>
      </c>
      <c r="Q58" s="85">
        <f t="shared" si="2"/>
        <v>0</v>
      </c>
    </row>
    <row r="59" spans="1:17">
      <c r="A59" s="164">
        <v>2380</v>
      </c>
      <c r="B59" s="168" t="s">
        <v>53</v>
      </c>
      <c r="C59" s="57">
        <f>VLOOKUP(A59,'Contribution Allocation_Report'!$A$9:$D$311,4,FALSE)</f>
        <v>4.99885032644173E-4</v>
      </c>
      <c r="E59" s="81">
        <f>VLOOKUP(A59,Contributions_21!$A$9:$D$310,4,FALSE)</f>
        <v>4.6480000000000002E-4</v>
      </c>
      <c r="F59" s="26"/>
      <c r="G59" s="82">
        <f t="shared" si="5"/>
        <v>154098</v>
      </c>
      <c r="H59" s="146">
        <f t="shared" si="3"/>
        <v>26163</v>
      </c>
      <c r="I59" s="146">
        <f t="shared" si="4"/>
        <v>127935</v>
      </c>
      <c r="J59" s="146"/>
      <c r="K59" s="25"/>
      <c r="L59" s="84">
        <f t="shared" si="0"/>
        <v>26163</v>
      </c>
      <c r="M59" s="84">
        <f t="shared" si="0"/>
        <v>26163</v>
      </c>
      <c r="N59" s="84">
        <f t="shared" si="0"/>
        <v>26163</v>
      </c>
      <c r="O59" s="84">
        <f t="shared" si="0"/>
        <v>26163</v>
      </c>
      <c r="P59" s="85">
        <f t="shared" si="1"/>
        <v>23283</v>
      </c>
      <c r="Q59" s="85">
        <f t="shared" si="2"/>
        <v>0</v>
      </c>
    </row>
    <row r="60" spans="1:17">
      <c r="A60" s="166">
        <v>2400</v>
      </c>
      <c r="B60" s="167" t="s">
        <v>54</v>
      </c>
      <c r="C60" s="56">
        <f>VLOOKUP(A60,'Contribution Allocation_Report'!$A$9:$D$311,4,FALSE)</f>
        <v>1.5968462699122447E-2</v>
      </c>
      <c r="E60" s="81">
        <f>VLOOKUP(A60,Contributions_21!$A$9:$D$310,4,FALSE)</f>
        <v>1.6100799999999998E-2</v>
      </c>
      <c r="F60" s="26"/>
      <c r="G60" s="82">
        <f t="shared" si="5"/>
        <v>-581241</v>
      </c>
      <c r="H60" s="146">
        <f t="shared" si="3"/>
        <v>-98683</v>
      </c>
      <c r="I60" s="146">
        <f t="shared" si="4"/>
        <v>-482558</v>
      </c>
      <c r="J60" s="146"/>
      <c r="K60" s="25"/>
      <c r="L60" s="84">
        <f t="shared" si="0"/>
        <v>-98683</v>
      </c>
      <c r="M60" s="84">
        <f t="shared" si="0"/>
        <v>-98683</v>
      </c>
      <c r="N60" s="84">
        <f t="shared" si="0"/>
        <v>-98683</v>
      </c>
      <c r="O60" s="84">
        <f t="shared" si="0"/>
        <v>-98683</v>
      </c>
      <c r="P60" s="85">
        <f t="shared" si="1"/>
        <v>-87826</v>
      </c>
      <c r="Q60" s="85">
        <f t="shared" si="2"/>
        <v>0</v>
      </c>
    </row>
    <row r="61" spans="1:17">
      <c r="A61" s="164">
        <v>2410</v>
      </c>
      <c r="B61" s="168" t="s">
        <v>55</v>
      </c>
      <c r="C61" s="57">
        <f>VLOOKUP(A61,'Contribution Allocation_Report'!$A$9:$D$311,4,FALSE)</f>
        <v>1.9501137161912646E-3</v>
      </c>
      <c r="E61" s="81">
        <f>VLOOKUP(A61,Contributions_21!$A$9:$D$310,4,FALSE)</f>
        <v>1.9629999999999999E-3</v>
      </c>
      <c r="F61" s="26"/>
      <c r="G61" s="82">
        <f t="shared" si="5"/>
        <v>-56598</v>
      </c>
      <c r="H61" s="146">
        <f t="shared" si="3"/>
        <v>-9609</v>
      </c>
      <c r="I61" s="146">
        <f t="shared" si="4"/>
        <v>-46989</v>
      </c>
      <c r="J61" s="146"/>
      <c r="K61" s="25"/>
      <c r="L61" s="84">
        <f t="shared" si="0"/>
        <v>-9609</v>
      </c>
      <c r="M61" s="84">
        <f t="shared" si="0"/>
        <v>-9609</v>
      </c>
      <c r="N61" s="84">
        <f t="shared" si="0"/>
        <v>-9609</v>
      </c>
      <c r="O61" s="84">
        <f t="shared" si="0"/>
        <v>-9609</v>
      </c>
      <c r="P61" s="85">
        <f t="shared" si="1"/>
        <v>-8553</v>
      </c>
      <c r="Q61" s="85">
        <f t="shared" si="2"/>
        <v>0</v>
      </c>
    </row>
    <row r="62" spans="1:17">
      <c r="A62" s="166">
        <v>2500</v>
      </c>
      <c r="B62" s="167" t="s">
        <v>56</v>
      </c>
      <c r="C62" s="56">
        <f>VLOOKUP(A62,'Contribution Allocation_Report'!$A$9:$D$311,4,FALSE)</f>
        <v>3.1244660278698826E-4</v>
      </c>
      <c r="E62" s="81">
        <f>VLOOKUP(A62,Contributions_21!$A$9:$D$310,4,FALSE)</f>
        <v>2.853E-4</v>
      </c>
      <c r="F62" s="26"/>
      <c r="G62" s="82">
        <f t="shared" si="5"/>
        <v>119231</v>
      </c>
      <c r="H62" s="146">
        <f t="shared" si="3"/>
        <v>20243</v>
      </c>
      <c r="I62" s="146">
        <f t="shared" si="4"/>
        <v>98988</v>
      </c>
      <c r="J62" s="146"/>
      <c r="K62" s="25"/>
      <c r="L62" s="84">
        <f t="shared" si="0"/>
        <v>20243</v>
      </c>
      <c r="M62" s="84">
        <f t="shared" si="0"/>
        <v>20243</v>
      </c>
      <c r="N62" s="84">
        <f t="shared" si="0"/>
        <v>20243</v>
      </c>
      <c r="O62" s="84">
        <f t="shared" si="0"/>
        <v>20243</v>
      </c>
      <c r="P62" s="85">
        <f t="shared" si="1"/>
        <v>18016</v>
      </c>
      <c r="Q62" s="85">
        <f t="shared" si="2"/>
        <v>0</v>
      </c>
    </row>
    <row r="63" spans="1:17">
      <c r="A63" s="164">
        <v>2550</v>
      </c>
      <c r="B63" s="168" t="s">
        <v>57</v>
      </c>
      <c r="C63" s="57">
        <f>VLOOKUP(A63,'Contribution Allocation_Report'!$A$9:$D$311,4,FALSE)</f>
        <v>1.170621459049246E-3</v>
      </c>
      <c r="E63" s="81">
        <f>VLOOKUP(A63,Contributions_21!$A$9:$D$310,4,FALSE)</f>
        <v>1.1807E-3</v>
      </c>
      <c r="F63" s="26"/>
      <c r="G63" s="82">
        <f t="shared" si="5"/>
        <v>-44266</v>
      </c>
      <c r="H63" s="146">
        <f t="shared" si="3"/>
        <v>-7515</v>
      </c>
      <c r="I63" s="146">
        <f t="shared" si="4"/>
        <v>-36751</v>
      </c>
      <c r="J63" s="146"/>
      <c r="K63" s="25"/>
      <c r="L63" s="84">
        <f t="shared" si="0"/>
        <v>-7516</v>
      </c>
      <c r="M63" s="84">
        <f t="shared" si="0"/>
        <v>-7516</v>
      </c>
      <c r="N63" s="84">
        <f t="shared" si="0"/>
        <v>-7516</v>
      </c>
      <c r="O63" s="84">
        <f t="shared" si="0"/>
        <v>-7516</v>
      </c>
      <c r="P63" s="85">
        <f t="shared" si="1"/>
        <v>-6687</v>
      </c>
      <c r="Q63" s="85">
        <f t="shared" si="2"/>
        <v>0</v>
      </c>
    </row>
    <row r="64" spans="1:17">
      <c r="A64" s="166">
        <v>2570</v>
      </c>
      <c r="B64" s="167" t="s">
        <v>58</v>
      </c>
      <c r="C64" s="56">
        <f>VLOOKUP(A64,'Contribution Allocation_Report'!$A$9:$D$311,4,FALSE)</f>
        <v>7.2561638262868557E-4</v>
      </c>
      <c r="E64" s="81">
        <f>VLOOKUP(A64,Contributions_21!$A$9:$D$310,4,FALSE)</f>
        <v>7.5569999999999999E-4</v>
      </c>
      <c r="F64" s="26"/>
      <c r="G64" s="82">
        <f t="shared" si="5"/>
        <v>-132131</v>
      </c>
      <c r="H64" s="146">
        <f t="shared" si="3"/>
        <v>-22433</v>
      </c>
      <c r="I64" s="146">
        <f t="shared" si="4"/>
        <v>-109698</v>
      </c>
      <c r="J64" s="146"/>
      <c r="K64" s="25"/>
      <c r="L64" s="84">
        <f t="shared" si="0"/>
        <v>-22433</v>
      </c>
      <c r="M64" s="84">
        <f t="shared" si="0"/>
        <v>-22433</v>
      </c>
      <c r="N64" s="84">
        <f t="shared" si="0"/>
        <v>-22433</v>
      </c>
      <c r="O64" s="84">
        <f t="shared" si="0"/>
        <v>-22433</v>
      </c>
      <c r="P64" s="85">
        <f t="shared" si="1"/>
        <v>-19966</v>
      </c>
      <c r="Q64" s="85">
        <f t="shared" si="2"/>
        <v>0</v>
      </c>
    </row>
    <row r="65" spans="1:17">
      <c r="A65" s="164">
        <v>2620</v>
      </c>
      <c r="B65" s="168" t="s">
        <v>59</v>
      </c>
      <c r="C65" s="57">
        <f>VLOOKUP(A65,'Contribution Allocation_Report'!$A$9:$D$311,4,FALSE)</f>
        <v>6.9476055791426166E-3</v>
      </c>
      <c r="E65" s="81">
        <f>VLOOKUP(A65,Contributions_21!$A$9:$D$310,4,FALSE)</f>
        <v>7.0857000000000003E-3</v>
      </c>
      <c r="F65" s="26"/>
      <c r="G65" s="82">
        <f t="shared" si="5"/>
        <v>-606527</v>
      </c>
      <c r="H65" s="146">
        <f t="shared" si="3"/>
        <v>-102976</v>
      </c>
      <c r="I65" s="146">
        <f t="shared" si="4"/>
        <v>-503551</v>
      </c>
      <c r="J65" s="146"/>
      <c r="K65" s="25"/>
      <c r="L65" s="84">
        <f t="shared" si="0"/>
        <v>-102976</v>
      </c>
      <c r="M65" s="84">
        <f t="shared" si="0"/>
        <v>-102976</v>
      </c>
      <c r="N65" s="84">
        <f t="shared" si="0"/>
        <v>-102976</v>
      </c>
      <c r="O65" s="84">
        <f t="shared" si="0"/>
        <v>-102976</v>
      </c>
      <c r="P65" s="85">
        <f t="shared" si="1"/>
        <v>-91647</v>
      </c>
      <c r="Q65" s="85">
        <f t="shared" si="2"/>
        <v>0</v>
      </c>
    </row>
    <row r="66" spans="1:17">
      <c r="A66" s="166">
        <v>2630</v>
      </c>
      <c r="B66" s="167" t="s">
        <v>60</v>
      </c>
      <c r="C66" s="56">
        <f>VLOOKUP(A66,'Contribution Allocation_Report'!$A$9:$D$311,4,FALSE)</f>
        <v>5.9454828125919488E-3</v>
      </c>
      <c r="E66" s="81">
        <f>VLOOKUP(A66,Contributions_21!$A$9:$D$310,4,FALSE)</f>
        <v>5.4523000000000002E-3</v>
      </c>
      <c r="F66" s="26"/>
      <c r="G66" s="82">
        <f t="shared" si="5"/>
        <v>2166117</v>
      </c>
      <c r="H66" s="146">
        <f t="shared" si="3"/>
        <v>367762</v>
      </c>
      <c r="I66" s="146">
        <f t="shared" si="4"/>
        <v>1798355</v>
      </c>
      <c r="J66" s="146"/>
      <c r="K66" s="25"/>
      <c r="L66" s="84">
        <f t="shared" si="0"/>
        <v>367762</v>
      </c>
      <c r="M66" s="84">
        <f t="shared" si="0"/>
        <v>367762</v>
      </c>
      <c r="N66" s="84">
        <f t="shared" si="0"/>
        <v>367762</v>
      </c>
      <c r="O66" s="84">
        <f t="shared" si="0"/>
        <v>367762</v>
      </c>
      <c r="P66" s="85">
        <f t="shared" si="1"/>
        <v>327307</v>
      </c>
      <c r="Q66" s="85">
        <f t="shared" si="2"/>
        <v>0</v>
      </c>
    </row>
    <row r="67" spans="1:17">
      <c r="A67" s="164">
        <v>2690</v>
      </c>
      <c r="B67" s="168" t="s">
        <v>61</v>
      </c>
      <c r="C67" s="57">
        <f>VLOOKUP(A67,'Contribution Allocation_Report'!$A$9:$D$311,4,FALSE)</f>
        <v>1.3473496839967822E-2</v>
      </c>
      <c r="E67" s="81">
        <f>VLOOKUP(A67,Contributions_21!$A$9:$D$310,4,FALSE)</f>
        <v>1.36373E-2</v>
      </c>
      <c r="F67" s="26"/>
      <c r="G67" s="82">
        <f t="shared" si="5"/>
        <v>-719443</v>
      </c>
      <c r="H67" s="146">
        <f t="shared" si="3"/>
        <v>-122147</v>
      </c>
      <c r="I67" s="146">
        <f t="shared" si="4"/>
        <v>-597296</v>
      </c>
      <c r="J67" s="146"/>
      <c r="K67" s="25"/>
      <c r="L67" s="84">
        <f t="shared" si="0"/>
        <v>-122146</v>
      </c>
      <c r="M67" s="84">
        <f t="shared" si="0"/>
        <v>-122146</v>
      </c>
      <c r="N67" s="84">
        <f t="shared" si="0"/>
        <v>-122146</v>
      </c>
      <c r="O67" s="84">
        <f t="shared" si="0"/>
        <v>-122146</v>
      </c>
      <c r="P67" s="85">
        <f t="shared" si="1"/>
        <v>-108712</v>
      </c>
      <c r="Q67" s="85">
        <f t="shared" si="2"/>
        <v>0</v>
      </c>
    </row>
    <row r="68" spans="1:17">
      <c r="A68" s="166">
        <v>2710</v>
      </c>
      <c r="B68" s="167" t="s">
        <v>62</v>
      </c>
      <c r="C68" s="56">
        <f>VLOOKUP(A68,'Contribution Allocation_Report'!$A$9:$D$311,4,FALSE)</f>
        <v>2.2006124150293391E-4</v>
      </c>
      <c r="E68" s="81">
        <f>VLOOKUP(A68,Contributions_21!$A$9:$D$310,4,FALSE)</f>
        <v>2.4429999999999998E-4</v>
      </c>
      <c r="F68" s="26"/>
      <c r="G68" s="82">
        <f t="shared" si="5"/>
        <v>-106459</v>
      </c>
      <c r="H68" s="146">
        <f t="shared" si="3"/>
        <v>-18075</v>
      </c>
      <c r="I68" s="146">
        <f t="shared" si="4"/>
        <v>-88384</v>
      </c>
      <c r="J68" s="146"/>
      <c r="K68" s="25"/>
      <c r="L68" s="84">
        <f t="shared" si="0"/>
        <v>-18074</v>
      </c>
      <c r="M68" s="84">
        <f t="shared" si="0"/>
        <v>-18074</v>
      </c>
      <c r="N68" s="84">
        <f t="shared" si="0"/>
        <v>-18074</v>
      </c>
      <c r="O68" s="84">
        <f t="shared" si="0"/>
        <v>-18074</v>
      </c>
      <c r="P68" s="85">
        <f t="shared" si="1"/>
        <v>-16088</v>
      </c>
      <c r="Q68" s="85">
        <f t="shared" si="2"/>
        <v>0</v>
      </c>
    </row>
    <row r="69" spans="1:17">
      <c r="A69" s="164">
        <v>2730</v>
      </c>
      <c r="B69" s="168" t="s">
        <v>63</v>
      </c>
      <c r="C69" s="57">
        <f>VLOOKUP(A69,'Contribution Allocation_Report'!$A$9:$D$311,4,FALSE)</f>
        <v>1.0163964771379749E-3</v>
      </c>
      <c r="E69" s="81">
        <f>VLOOKUP(A69,Contributions_21!$A$9:$D$310,4,FALSE)</f>
        <v>1.0058999999999999E-3</v>
      </c>
      <c r="F69" s="26"/>
      <c r="G69" s="82">
        <f t="shared" si="5"/>
        <v>46102</v>
      </c>
      <c r="H69" s="146">
        <f t="shared" si="3"/>
        <v>7827</v>
      </c>
      <c r="I69" s="146">
        <f t="shared" si="4"/>
        <v>38275</v>
      </c>
      <c r="J69" s="146"/>
      <c r="K69" s="25"/>
      <c r="L69" s="84">
        <f t="shared" si="0"/>
        <v>7827</v>
      </c>
      <c r="M69" s="84">
        <f t="shared" si="0"/>
        <v>7827</v>
      </c>
      <c r="N69" s="84">
        <f t="shared" si="0"/>
        <v>7827</v>
      </c>
      <c r="O69" s="84">
        <f t="shared" ref="M69:O88" si="6">ROUND($I69/4.89,0)</f>
        <v>7827</v>
      </c>
      <c r="P69" s="85">
        <f t="shared" si="1"/>
        <v>6967</v>
      </c>
      <c r="Q69" s="85">
        <f t="shared" si="2"/>
        <v>0</v>
      </c>
    </row>
    <row r="70" spans="1:17">
      <c r="A70" s="166">
        <v>2950</v>
      </c>
      <c r="B70" s="167" t="s">
        <v>64</v>
      </c>
      <c r="C70" s="56">
        <f>VLOOKUP(A70,'Contribution Allocation_Report'!$A$9:$D$311,4,FALSE)</f>
        <v>8.356617692876566E-4</v>
      </c>
      <c r="E70" s="81">
        <f>VLOOKUP(A70,Contributions_21!$A$9:$D$310,4,FALSE)</f>
        <v>8.5190000000000005E-4</v>
      </c>
      <c r="F70" s="26"/>
      <c r="G70" s="82">
        <f t="shared" si="5"/>
        <v>-71320</v>
      </c>
      <c r="H70" s="146">
        <f t="shared" si="3"/>
        <v>-12109</v>
      </c>
      <c r="I70" s="146">
        <f t="shared" si="4"/>
        <v>-59211</v>
      </c>
      <c r="J70" s="146"/>
      <c r="K70" s="25"/>
      <c r="L70" s="84">
        <f t="shared" ref="L70:O133" si="7">ROUND($I70/4.89,0)</f>
        <v>-12109</v>
      </c>
      <c r="M70" s="84">
        <f t="shared" si="6"/>
        <v>-12109</v>
      </c>
      <c r="N70" s="84">
        <f t="shared" si="6"/>
        <v>-12109</v>
      </c>
      <c r="O70" s="84">
        <f t="shared" si="6"/>
        <v>-12109</v>
      </c>
      <c r="P70" s="85">
        <f t="shared" si="1"/>
        <v>-10775</v>
      </c>
      <c r="Q70" s="85">
        <f t="shared" si="2"/>
        <v>0</v>
      </c>
    </row>
    <row r="71" spans="1:17">
      <c r="A71" s="164">
        <v>2760</v>
      </c>
      <c r="B71" s="168" t="s">
        <v>65</v>
      </c>
      <c r="C71" s="57">
        <f>VLOOKUP(A71,'Contribution Allocation_Report'!$A$9:$D$311,4,FALSE)</f>
        <v>7.4696788487963004E-4</v>
      </c>
      <c r="E71" s="81">
        <f>VLOOKUP(A71,Contributions_21!$A$9:$D$310,4,FALSE)</f>
        <v>8.0999999999999996E-4</v>
      </c>
      <c r="F71" s="26"/>
      <c r="G71" s="82">
        <f t="shared" si="5"/>
        <v>-276844</v>
      </c>
      <c r="H71" s="146">
        <f t="shared" ref="H71:H134" si="8">ROUND(G71/5.89,0)</f>
        <v>-47002</v>
      </c>
      <c r="I71" s="146">
        <f t="shared" si="4"/>
        <v>-229842</v>
      </c>
      <c r="J71" s="146"/>
      <c r="K71" s="25"/>
      <c r="L71" s="84">
        <f t="shared" si="7"/>
        <v>-47002</v>
      </c>
      <c r="M71" s="84">
        <f t="shared" si="6"/>
        <v>-47002</v>
      </c>
      <c r="N71" s="84">
        <f t="shared" si="6"/>
        <v>-47002</v>
      </c>
      <c r="O71" s="84">
        <f t="shared" si="6"/>
        <v>-47002</v>
      </c>
      <c r="P71" s="85">
        <f t="shared" ref="P71:P134" si="9">I71-SUM(L71:O71)</f>
        <v>-41834</v>
      </c>
      <c r="Q71" s="85">
        <f t="shared" ref="Q71:Q134" si="10">+I71-SUM(L71:P71)</f>
        <v>0</v>
      </c>
    </row>
    <row r="72" spans="1:17">
      <c r="A72" s="166">
        <v>2780</v>
      </c>
      <c r="B72" s="167" t="s">
        <v>66</v>
      </c>
      <c r="C72" s="56">
        <f>VLOOKUP(A72,'Contribution Allocation_Report'!$A$9:$D$311,4,FALSE)</f>
        <v>5.9378636043198273E-5</v>
      </c>
      <c r="E72" s="81">
        <f>VLOOKUP(A72,Contributions_21!$A$9:$D$310,4,FALSE)</f>
        <v>7.2700000000000005E-5</v>
      </c>
      <c r="F72" s="26"/>
      <c r="G72" s="82">
        <f t="shared" ref="G72:G135" si="11">ROUND((E72-C72)*$G$326,0)</f>
        <v>-58509</v>
      </c>
      <c r="H72" s="146">
        <f t="shared" si="8"/>
        <v>-9934</v>
      </c>
      <c r="I72" s="146">
        <f t="shared" ref="I72:I135" si="12">G72-H72</f>
        <v>-48575</v>
      </c>
      <c r="J72" s="146"/>
      <c r="K72" s="25"/>
      <c r="L72" s="84">
        <f t="shared" si="7"/>
        <v>-9934</v>
      </c>
      <c r="M72" s="84">
        <f t="shared" si="6"/>
        <v>-9934</v>
      </c>
      <c r="N72" s="84">
        <f t="shared" si="6"/>
        <v>-9934</v>
      </c>
      <c r="O72" s="84">
        <f t="shared" si="6"/>
        <v>-9934</v>
      </c>
      <c r="P72" s="85">
        <f t="shared" si="9"/>
        <v>-8839</v>
      </c>
      <c r="Q72" s="85">
        <f t="shared" si="10"/>
        <v>0</v>
      </c>
    </row>
    <row r="73" spans="1:17">
      <c r="A73" s="164">
        <v>2810</v>
      </c>
      <c r="B73" s="168" t="s">
        <v>67</v>
      </c>
      <c r="C73" s="57">
        <f>VLOOKUP(A73,'Contribution Allocation_Report'!$A$9:$D$311,4,FALSE)</f>
        <v>5.4112129033398687E-4</v>
      </c>
      <c r="E73" s="81">
        <f>VLOOKUP(A73,Contributions_21!$A$9:$D$310,4,FALSE)</f>
        <v>5.6970000000000002E-4</v>
      </c>
      <c r="F73" s="26"/>
      <c r="G73" s="82">
        <f t="shared" si="11"/>
        <v>-125521</v>
      </c>
      <c r="H73" s="146">
        <f t="shared" si="8"/>
        <v>-21311</v>
      </c>
      <c r="I73" s="146">
        <f t="shared" si="12"/>
        <v>-104210</v>
      </c>
      <c r="J73" s="146"/>
      <c r="K73" s="25"/>
      <c r="L73" s="84">
        <f t="shared" si="7"/>
        <v>-21311</v>
      </c>
      <c r="M73" s="84">
        <f t="shared" si="6"/>
        <v>-21311</v>
      </c>
      <c r="N73" s="84">
        <f t="shared" si="6"/>
        <v>-21311</v>
      </c>
      <c r="O73" s="84">
        <f t="shared" si="6"/>
        <v>-21311</v>
      </c>
      <c r="P73" s="85">
        <f t="shared" si="9"/>
        <v>-18966</v>
      </c>
      <c r="Q73" s="85">
        <f t="shared" si="10"/>
        <v>0</v>
      </c>
    </row>
    <row r="74" spans="1:17">
      <c r="A74" s="166">
        <v>18056</v>
      </c>
      <c r="B74" s="167" t="s">
        <v>68</v>
      </c>
      <c r="C74" s="56">
        <f>VLOOKUP(A74,'Contribution Allocation_Report'!$A$9:$D$311,4,FALSE)</f>
        <v>6.694567144213834E-4</v>
      </c>
      <c r="E74" s="81">
        <f>VLOOKUP(A74,Contributions_21!$A$9:$D$310,4,FALSE)</f>
        <v>6.7619999999999996E-4</v>
      </c>
      <c r="F74" s="26"/>
      <c r="G74" s="82">
        <f t="shared" si="11"/>
        <v>-29617</v>
      </c>
      <c r="H74" s="146">
        <f t="shared" si="8"/>
        <v>-5028</v>
      </c>
      <c r="I74" s="146">
        <f t="shared" si="12"/>
        <v>-24589</v>
      </c>
      <c r="J74" s="146"/>
      <c r="K74" s="25"/>
      <c r="L74" s="84">
        <f t="shared" si="7"/>
        <v>-5028</v>
      </c>
      <c r="M74" s="84">
        <f t="shared" si="6"/>
        <v>-5028</v>
      </c>
      <c r="N74" s="84">
        <f t="shared" si="6"/>
        <v>-5028</v>
      </c>
      <c r="O74" s="84">
        <f t="shared" si="6"/>
        <v>-5028</v>
      </c>
      <c r="P74" s="85">
        <f t="shared" si="9"/>
        <v>-4477</v>
      </c>
      <c r="Q74" s="85">
        <f t="shared" si="10"/>
        <v>0</v>
      </c>
    </row>
    <row r="75" spans="1:17">
      <c r="A75" s="164">
        <v>15047</v>
      </c>
      <c r="B75" s="168" t="s">
        <v>69</v>
      </c>
      <c r="C75" s="57">
        <f>VLOOKUP(A75,'Contribution Allocation_Report'!$A$9:$D$311,4,FALSE)</f>
        <v>6.842029340488223E-4</v>
      </c>
      <c r="E75" s="81">
        <f>VLOOKUP(A75,Contributions_21!$A$9:$D$310,4,FALSE)</f>
        <v>6.1629999999999996E-4</v>
      </c>
      <c r="F75" s="26"/>
      <c r="G75" s="82">
        <f t="shared" si="11"/>
        <v>298238</v>
      </c>
      <c r="H75" s="146">
        <f t="shared" si="8"/>
        <v>50635</v>
      </c>
      <c r="I75" s="146">
        <f t="shared" si="12"/>
        <v>247603</v>
      </c>
      <c r="J75" s="146"/>
      <c r="K75" s="25"/>
      <c r="L75" s="84">
        <f t="shared" si="7"/>
        <v>50635</v>
      </c>
      <c r="M75" s="84">
        <f t="shared" si="6"/>
        <v>50635</v>
      </c>
      <c r="N75" s="84">
        <f t="shared" si="6"/>
        <v>50635</v>
      </c>
      <c r="O75" s="84">
        <f t="shared" si="6"/>
        <v>50635</v>
      </c>
      <c r="P75" s="85">
        <f t="shared" si="9"/>
        <v>45063</v>
      </c>
      <c r="Q75" s="85">
        <f t="shared" si="10"/>
        <v>0</v>
      </c>
    </row>
    <row r="76" spans="1:17">
      <c r="A76" s="166">
        <v>5012</v>
      </c>
      <c r="B76" s="167" t="s">
        <v>70</v>
      </c>
      <c r="C76" s="56">
        <f>VLOOKUP(A76,'Contribution Allocation_Report'!$A$9:$D$311,4,FALSE)</f>
        <v>9.9622230991202494E-3</v>
      </c>
      <c r="E76" s="81">
        <f>VLOOKUP(A76,Contributions_21!$A$9:$D$310,4,FALSE)</f>
        <v>1.0221900000000001E-2</v>
      </c>
      <c r="F76" s="26"/>
      <c r="G76" s="82">
        <f t="shared" si="11"/>
        <v>-1140531</v>
      </c>
      <c r="H76" s="146">
        <f t="shared" si="8"/>
        <v>-193639</v>
      </c>
      <c r="I76" s="146">
        <f t="shared" si="12"/>
        <v>-946892</v>
      </c>
      <c r="J76" s="146"/>
      <c r="K76" s="25"/>
      <c r="L76" s="84">
        <f t="shared" si="7"/>
        <v>-193638</v>
      </c>
      <c r="M76" s="84">
        <f t="shared" si="6"/>
        <v>-193638</v>
      </c>
      <c r="N76" s="84">
        <f t="shared" si="6"/>
        <v>-193638</v>
      </c>
      <c r="O76" s="84">
        <f t="shared" si="6"/>
        <v>-193638</v>
      </c>
      <c r="P76" s="85">
        <f t="shared" si="9"/>
        <v>-172340</v>
      </c>
      <c r="Q76" s="85">
        <f t="shared" si="10"/>
        <v>0</v>
      </c>
    </row>
    <row r="77" spans="1:17">
      <c r="A77" s="164">
        <v>8024</v>
      </c>
      <c r="B77" s="168" t="s">
        <v>71</v>
      </c>
      <c r="C77" s="57">
        <f>VLOOKUP(A77,'Contribution Allocation_Report'!$A$9:$D$311,4,FALSE)</f>
        <v>2.0148868304426313E-3</v>
      </c>
      <c r="E77" s="81">
        <f>VLOOKUP(A77,Contributions_21!$A$9:$D$310,4,FALSE)</f>
        <v>2.1629000000000002E-3</v>
      </c>
      <c r="F77" s="26"/>
      <c r="G77" s="82">
        <f t="shared" si="11"/>
        <v>-650091</v>
      </c>
      <c r="H77" s="146">
        <f t="shared" si="8"/>
        <v>-110372</v>
      </c>
      <c r="I77" s="146">
        <f t="shared" si="12"/>
        <v>-539719</v>
      </c>
      <c r="J77" s="146"/>
      <c r="K77" s="25"/>
      <c r="L77" s="84">
        <f t="shared" si="7"/>
        <v>-110372</v>
      </c>
      <c r="M77" s="84">
        <f t="shared" si="6"/>
        <v>-110372</v>
      </c>
      <c r="N77" s="84">
        <f t="shared" si="6"/>
        <v>-110372</v>
      </c>
      <c r="O77" s="84">
        <f t="shared" si="6"/>
        <v>-110372</v>
      </c>
      <c r="P77" s="85">
        <f t="shared" si="9"/>
        <v>-98231</v>
      </c>
      <c r="Q77" s="85">
        <f t="shared" si="10"/>
        <v>0</v>
      </c>
    </row>
    <row r="78" spans="1:17">
      <c r="A78" s="166">
        <v>3050</v>
      </c>
      <c r="B78" s="167" t="s">
        <v>72</v>
      </c>
      <c r="C78" s="56">
        <f>VLOOKUP(A78,'Contribution Allocation_Report'!$A$9:$D$311,4,FALSE)</f>
        <v>6.7647544245500422E-4</v>
      </c>
      <c r="E78" s="81">
        <f>VLOOKUP(A78,Contributions_21!$A$9:$D$310,4,FALSE)</f>
        <v>7.0980000000000001E-4</v>
      </c>
      <c r="F78" s="26"/>
      <c r="G78" s="82">
        <f t="shared" si="11"/>
        <v>-146365</v>
      </c>
      <c r="H78" s="146">
        <f t="shared" si="8"/>
        <v>-24850</v>
      </c>
      <c r="I78" s="146">
        <f t="shared" si="12"/>
        <v>-121515</v>
      </c>
      <c r="J78" s="146"/>
      <c r="K78" s="25"/>
      <c r="L78" s="84">
        <f t="shared" si="7"/>
        <v>-24850</v>
      </c>
      <c r="M78" s="84">
        <f t="shared" si="6"/>
        <v>-24850</v>
      </c>
      <c r="N78" s="84">
        <f t="shared" si="6"/>
        <v>-24850</v>
      </c>
      <c r="O78" s="84">
        <f t="shared" si="6"/>
        <v>-24850</v>
      </c>
      <c r="P78" s="85">
        <f t="shared" si="9"/>
        <v>-22115</v>
      </c>
      <c r="Q78" s="85">
        <f t="shared" si="10"/>
        <v>0</v>
      </c>
    </row>
    <row r="79" spans="1:17">
      <c r="A79" s="164">
        <v>2421</v>
      </c>
      <c r="B79" s="168" t="s">
        <v>73</v>
      </c>
      <c r="C79" s="57">
        <f>VLOOKUP(A79,'Contribution Allocation_Report'!$A$9:$D$311,4,FALSE)</f>
        <v>3.0287829472432434E-4</v>
      </c>
      <c r="E79" s="81">
        <f>VLOOKUP(A79,Contributions_21!$A$9:$D$310,4,FALSE)</f>
        <v>2.5579999999999998E-4</v>
      </c>
      <c r="F79" s="26"/>
      <c r="G79" s="82">
        <f t="shared" si="11"/>
        <v>206773</v>
      </c>
      <c r="H79" s="146">
        <f t="shared" si="8"/>
        <v>35106</v>
      </c>
      <c r="I79" s="146">
        <f t="shared" si="12"/>
        <v>171667</v>
      </c>
      <c r="J79" s="146"/>
      <c r="K79" s="25"/>
      <c r="L79" s="84">
        <f t="shared" si="7"/>
        <v>35106</v>
      </c>
      <c r="M79" s="84">
        <f t="shared" si="6"/>
        <v>35106</v>
      </c>
      <c r="N79" s="84">
        <f t="shared" si="6"/>
        <v>35106</v>
      </c>
      <c r="O79" s="84">
        <f t="shared" si="6"/>
        <v>35106</v>
      </c>
      <c r="P79" s="85">
        <f t="shared" si="9"/>
        <v>31243</v>
      </c>
      <c r="Q79" s="85">
        <f t="shared" si="10"/>
        <v>0</v>
      </c>
    </row>
    <row r="80" spans="1:17">
      <c r="A80" s="166">
        <v>26079</v>
      </c>
      <c r="B80" s="167" t="s">
        <v>74</v>
      </c>
      <c r="C80" s="56">
        <f>VLOOKUP(A80,'Contribution Allocation_Report'!$A$9:$D$311,4,FALSE)</f>
        <v>2.2362474718059269E-4</v>
      </c>
      <c r="E80" s="81">
        <f>VLOOKUP(A80,Contributions_21!$A$9:$D$310,4,FALSE)</f>
        <v>2.2819999999999999E-4</v>
      </c>
      <c r="F80" s="26"/>
      <c r="G80" s="82">
        <f t="shared" si="11"/>
        <v>-20095</v>
      </c>
      <c r="H80" s="146">
        <f t="shared" si="8"/>
        <v>-3412</v>
      </c>
      <c r="I80" s="146">
        <f t="shared" si="12"/>
        <v>-16683</v>
      </c>
      <c r="J80" s="146"/>
      <c r="K80" s="25"/>
      <c r="L80" s="84">
        <f t="shared" si="7"/>
        <v>-3412</v>
      </c>
      <c r="M80" s="84">
        <f t="shared" si="6"/>
        <v>-3412</v>
      </c>
      <c r="N80" s="84">
        <f t="shared" si="6"/>
        <v>-3412</v>
      </c>
      <c r="O80" s="84">
        <f t="shared" si="6"/>
        <v>-3412</v>
      </c>
      <c r="P80" s="85">
        <f t="shared" si="9"/>
        <v>-3035</v>
      </c>
      <c r="Q80" s="85">
        <f t="shared" si="10"/>
        <v>0</v>
      </c>
    </row>
    <row r="81" spans="1:17">
      <c r="A81" s="164">
        <v>2363</v>
      </c>
      <c r="B81" s="168" t="s">
        <v>75</v>
      </c>
      <c r="C81" s="57">
        <f>VLOOKUP(A81,'Contribution Allocation_Report'!$A$9:$D$311,4,FALSE)</f>
        <v>2.9131166717943739E-4</v>
      </c>
      <c r="E81" s="81">
        <f>VLOOKUP(A81,Contributions_21!$A$9:$D$310,4,FALSE)</f>
        <v>2.9730000000000002E-4</v>
      </c>
      <c r="F81" s="26"/>
      <c r="G81" s="82">
        <f t="shared" si="11"/>
        <v>-26301</v>
      </c>
      <c r="H81" s="146">
        <f t="shared" si="8"/>
        <v>-4465</v>
      </c>
      <c r="I81" s="146">
        <f t="shared" si="12"/>
        <v>-21836</v>
      </c>
      <c r="J81" s="146"/>
      <c r="K81" s="25"/>
      <c r="L81" s="84">
        <f t="shared" si="7"/>
        <v>-4465</v>
      </c>
      <c r="M81" s="84">
        <f t="shared" si="6"/>
        <v>-4465</v>
      </c>
      <c r="N81" s="84">
        <f t="shared" si="6"/>
        <v>-4465</v>
      </c>
      <c r="O81" s="84">
        <f t="shared" si="6"/>
        <v>-4465</v>
      </c>
      <c r="P81" s="85">
        <f t="shared" si="9"/>
        <v>-3976</v>
      </c>
      <c r="Q81" s="85">
        <f t="shared" si="10"/>
        <v>0</v>
      </c>
    </row>
    <row r="82" spans="1:17">
      <c r="A82" s="166">
        <v>2364</v>
      </c>
      <c r="B82" s="167" t="s">
        <v>76</v>
      </c>
      <c r="C82" s="56">
        <f>VLOOKUP(A82,'Contribution Allocation_Report'!$A$9:$D$311,4,FALSE)</f>
        <v>9.0624280715730706E-4</v>
      </c>
      <c r="E82" s="81">
        <f>VLOOKUP(A82,Contributions_21!$A$9:$D$310,4,FALSE)</f>
        <v>7.6959999999999995E-4</v>
      </c>
      <c r="F82" s="26"/>
      <c r="G82" s="82">
        <f t="shared" si="11"/>
        <v>600151</v>
      </c>
      <c r="H82" s="146">
        <f t="shared" si="8"/>
        <v>101893</v>
      </c>
      <c r="I82" s="146">
        <f t="shared" si="12"/>
        <v>498258</v>
      </c>
      <c r="J82" s="146"/>
      <c r="K82" s="25"/>
      <c r="L82" s="84">
        <f t="shared" si="7"/>
        <v>101893</v>
      </c>
      <c r="M82" s="84">
        <f t="shared" si="6"/>
        <v>101893</v>
      </c>
      <c r="N82" s="84">
        <f t="shared" si="6"/>
        <v>101893</v>
      </c>
      <c r="O82" s="84">
        <f t="shared" si="6"/>
        <v>101893</v>
      </c>
      <c r="P82" s="85">
        <f t="shared" si="9"/>
        <v>90686</v>
      </c>
      <c r="Q82" s="85">
        <f t="shared" si="10"/>
        <v>0</v>
      </c>
    </row>
    <row r="83" spans="1:17">
      <c r="A83" s="164">
        <v>25319</v>
      </c>
      <c r="B83" s="168" t="s">
        <v>77</v>
      </c>
      <c r="C83" s="57">
        <f>VLOOKUP(A83,'Contribution Allocation_Report'!$A$9:$D$311,4,FALSE)</f>
        <v>2.3399041424847859E-4</v>
      </c>
      <c r="E83" s="81">
        <f>VLOOKUP(A83,Contributions_21!$A$9:$D$310,4,FALSE)</f>
        <v>2.3379999999999999E-4</v>
      </c>
      <c r="F83" s="26"/>
      <c r="G83" s="82">
        <f t="shared" si="11"/>
        <v>836</v>
      </c>
      <c r="H83" s="146">
        <f t="shared" si="8"/>
        <v>142</v>
      </c>
      <c r="I83" s="146">
        <f t="shared" si="12"/>
        <v>694</v>
      </c>
      <c r="J83" s="146"/>
      <c r="K83" s="25"/>
      <c r="L83" s="84">
        <f t="shared" si="7"/>
        <v>142</v>
      </c>
      <c r="M83" s="84">
        <f t="shared" si="6"/>
        <v>142</v>
      </c>
      <c r="N83" s="84">
        <f t="shared" si="6"/>
        <v>142</v>
      </c>
      <c r="O83" s="84">
        <f t="shared" si="6"/>
        <v>142</v>
      </c>
      <c r="P83" s="85">
        <f t="shared" si="9"/>
        <v>126</v>
      </c>
      <c r="Q83" s="85">
        <f t="shared" si="10"/>
        <v>0</v>
      </c>
    </row>
    <row r="84" spans="1:17">
      <c r="A84" s="166">
        <v>29087</v>
      </c>
      <c r="B84" s="167" t="s">
        <v>78</v>
      </c>
      <c r="C84" s="56">
        <f>VLOOKUP(A84,'Contribution Allocation_Report'!$A$9:$D$311,4,FALSE)</f>
        <v>1.4861689024120977E-3</v>
      </c>
      <c r="E84" s="81">
        <f>VLOOKUP(A84,Contributions_21!$A$9:$D$310,4,FALSE)</f>
        <v>1.3545E-3</v>
      </c>
      <c r="F84" s="26"/>
      <c r="G84" s="82">
        <f t="shared" si="11"/>
        <v>578305</v>
      </c>
      <c r="H84" s="146">
        <f t="shared" si="8"/>
        <v>98184</v>
      </c>
      <c r="I84" s="146">
        <f t="shared" si="12"/>
        <v>480121</v>
      </c>
      <c r="J84" s="146"/>
      <c r="K84" s="25"/>
      <c r="L84" s="84">
        <f t="shared" si="7"/>
        <v>98184</v>
      </c>
      <c r="M84" s="84">
        <f t="shared" si="6"/>
        <v>98184</v>
      </c>
      <c r="N84" s="84">
        <f t="shared" si="6"/>
        <v>98184</v>
      </c>
      <c r="O84" s="84">
        <f t="shared" si="6"/>
        <v>98184</v>
      </c>
      <c r="P84" s="85">
        <f t="shared" si="9"/>
        <v>87385</v>
      </c>
      <c r="Q84" s="85">
        <f t="shared" si="10"/>
        <v>0</v>
      </c>
    </row>
    <row r="85" spans="1:17">
      <c r="A85" s="164">
        <v>3060</v>
      </c>
      <c r="B85" s="168" t="s">
        <v>79</v>
      </c>
      <c r="C85" s="57">
        <f>VLOOKUP(A85,'Contribution Allocation_Report'!$A$9:$D$311,4,FALSE)</f>
        <v>1.1428320211265093E-3</v>
      </c>
      <c r="E85" s="81">
        <f>VLOOKUP(A85,Contributions_21!$A$9:$D$310,4,FALSE)</f>
        <v>1.1953000000000001E-3</v>
      </c>
      <c r="F85" s="26"/>
      <c r="G85" s="82">
        <f t="shared" si="11"/>
        <v>-230446</v>
      </c>
      <c r="H85" s="146">
        <f t="shared" si="8"/>
        <v>-39125</v>
      </c>
      <c r="I85" s="146">
        <f t="shared" si="12"/>
        <v>-191321</v>
      </c>
      <c r="J85" s="146"/>
      <c r="K85" s="25"/>
      <c r="L85" s="84">
        <f t="shared" si="7"/>
        <v>-39125</v>
      </c>
      <c r="M85" s="84">
        <f t="shared" si="6"/>
        <v>-39125</v>
      </c>
      <c r="N85" s="84">
        <f t="shared" si="6"/>
        <v>-39125</v>
      </c>
      <c r="O85" s="84">
        <f t="shared" si="6"/>
        <v>-39125</v>
      </c>
      <c r="P85" s="85">
        <f t="shared" si="9"/>
        <v>-34821</v>
      </c>
      <c r="Q85" s="85">
        <f t="shared" si="10"/>
        <v>0</v>
      </c>
    </row>
    <row r="86" spans="1:17">
      <c r="A86" s="166">
        <v>19301</v>
      </c>
      <c r="B86" s="167" t="s">
        <v>80</v>
      </c>
      <c r="C86" s="56">
        <f>VLOOKUP(A86,'Contribution Allocation_Report'!$A$9:$D$311,4,FALSE)</f>
        <v>2.0640769903079931E-4</v>
      </c>
      <c r="E86" s="81">
        <f>VLOOKUP(A86,Contributions_21!$A$9:$D$310,4,FALSE)</f>
        <v>1.7870000000000001E-4</v>
      </c>
      <c r="F86" s="26"/>
      <c r="G86" s="82">
        <f t="shared" si="11"/>
        <v>121695</v>
      </c>
      <c r="H86" s="146">
        <f t="shared" si="8"/>
        <v>20661</v>
      </c>
      <c r="I86" s="146">
        <f t="shared" si="12"/>
        <v>101034</v>
      </c>
      <c r="J86" s="146"/>
      <c r="K86" s="25"/>
      <c r="L86" s="84">
        <f t="shared" si="7"/>
        <v>20661</v>
      </c>
      <c r="M86" s="84">
        <f t="shared" si="6"/>
        <v>20661</v>
      </c>
      <c r="N86" s="84">
        <f t="shared" si="6"/>
        <v>20661</v>
      </c>
      <c r="O86" s="84">
        <f t="shared" si="6"/>
        <v>20661</v>
      </c>
      <c r="P86" s="85">
        <f t="shared" si="9"/>
        <v>18390</v>
      </c>
      <c r="Q86" s="85">
        <f t="shared" si="10"/>
        <v>0</v>
      </c>
    </row>
    <row r="87" spans="1:17">
      <c r="A87" s="164">
        <v>19059</v>
      </c>
      <c r="B87" s="168" t="s">
        <v>81</v>
      </c>
      <c r="C87" s="57">
        <f>VLOOKUP(A87,'Contribution Allocation_Report'!$A$9:$D$311,4,FALSE)</f>
        <v>7.6137842620980873E-3</v>
      </c>
      <c r="E87" s="81">
        <f>VLOOKUP(A87,Contributions_21!$A$9:$D$310,4,FALSE)</f>
        <v>7.0042999999999998E-3</v>
      </c>
      <c r="F87" s="26"/>
      <c r="G87" s="82">
        <f t="shared" si="11"/>
        <v>2676927</v>
      </c>
      <c r="H87" s="146">
        <f t="shared" si="8"/>
        <v>454487</v>
      </c>
      <c r="I87" s="146">
        <f t="shared" si="12"/>
        <v>2222440</v>
      </c>
      <c r="J87" s="146"/>
      <c r="K87" s="25"/>
      <c r="L87" s="84">
        <f t="shared" si="7"/>
        <v>454487</v>
      </c>
      <c r="M87" s="84">
        <f t="shared" si="6"/>
        <v>454487</v>
      </c>
      <c r="N87" s="84">
        <f t="shared" si="6"/>
        <v>454487</v>
      </c>
      <c r="O87" s="84">
        <f t="shared" si="6"/>
        <v>454487</v>
      </c>
      <c r="P87" s="85">
        <f t="shared" si="9"/>
        <v>404492</v>
      </c>
      <c r="Q87" s="85">
        <f t="shared" si="10"/>
        <v>0</v>
      </c>
    </row>
    <row r="88" spans="1:17">
      <c r="A88" s="166">
        <v>18057</v>
      </c>
      <c r="B88" s="167" t="s">
        <v>82</v>
      </c>
      <c r="C88" s="56">
        <f>VLOOKUP(A88,'Contribution Allocation_Report'!$A$9:$D$311,4,FALSE)</f>
        <v>2.6752871215948265E-4</v>
      </c>
      <c r="E88" s="81">
        <f>VLOOKUP(A88,Contributions_21!$A$9:$D$310,4,FALSE)</f>
        <v>2.566E-4</v>
      </c>
      <c r="F88" s="26"/>
      <c r="G88" s="82">
        <f t="shared" si="11"/>
        <v>48000</v>
      </c>
      <c r="H88" s="146">
        <f t="shared" si="8"/>
        <v>8149</v>
      </c>
      <c r="I88" s="146">
        <f t="shared" si="12"/>
        <v>39851</v>
      </c>
      <c r="J88" s="146"/>
      <c r="K88" s="25"/>
      <c r="L88" s="84">
        <f t="shared" si="7"/>
        <v>8149</v>
      </c>
      <c r="M88" s="84">
        <f t="shared" si="6"/>
        <v>8149</v>
      </c>
      <c r="N88" s="84">
        <f t="shared" si="6"/>
        <v>8149</v>
      </c>
      <c r="O88" s="84">
        <f t="shared" si="6"/>
        <v>8149</v>
      </c>
      <c r="P88" s="85">
        <f t="shared" si="9"/>
        <v>7255</v>
      </c>
      <c r="Q88" s="85">
        <f t="shared" si="10"/>
        <v>0</v>
      </c>
    </row>
    <row r="89" spans="1:17">
      <c r="A89" s="164">
        <v>4008</v>
      </c>
      <c r="B89" s="168" t="s">
        <v>83</v>
      </c>
      <c r="C89" s="57">
        <f>VLOOKUP(A89,'Contribution Allocation_Report'!$A$9:$D$311,4,FALSE)</f>
        <v>1.1249652730465349E-3</v>
      </c>
      <c r="E89" s="81">
        <f>VLOOKUP(A89,Contributions_21!$A$9:$D$310,4,FALSE)</f>
        <v>1.1689999999999999E-3</v>
      </c>
      <c r="F89" s="26"/>
      <c r="G89" s="82">
        <f t="shared" si="11"/>
        <v>-193406</v>
      </c>
      <c r="H89" s="146">
        <f t="shared" si="8"/>
        <v>-32836</v>
      </c>
      <c r="I89" s="146">
        <f t="shared" si="12"/>
        <v>-160570</v>
      </c>
      <c r="J89" s="146"/>
      <c r="K89" s="25"/>
      <c r="L89" s="84">
        <f t="shared" si="7"/>
        <v>-32836</v>
      </c>
      <c r="M89" s="84">
        <f t="shared" si="7"/>
        <v>-32836</v>
      </c>
      <c r="N89" s="84">
        <f t="shared" si="7"/>
        <v>-32836</v>
      </c>
      <c r="O89" s="84">
        <f t="shared" si="7"/>
        <v>-32836</v>
      </c>
      <c r="P89" s="85">
        <f t="shared" si="9"/>
        <v>-29226</v>
      </c>
      <c r="Q89" s="85">
        <f t="shared" si="10"/>
        <v>0</v>
      </c>
    </row>
    <row r="90" spans="1:17">
      <c r="A90" s="166">
        <v>2350</v>
      </c>
      <c r="B90" s="167" t="s">
        <v>84</v>
      </c>
      <c r="C90" s="56">
        <f>VLOOKUP(A90,'Contribution Allocation_Report'!$A$9:$D$311,4,FALSE)</f>
        <v>4.0055969483318647E-4</v>
      </c>
      <c r="E90" s="81">
        <f>VLOOKUP(A90,Contributions_21!$A$9:$D$310,4,FALSE)</f>
        <v>3.8660000000000002E-4</v>
      </c>
      <c r="F90" s="26"/>
      <c r="G90" s="82">
        <f t="shared" si="11"/>
        <v>61313</v>
      </c>
      <c r="H90" s="146">
        <f t="shared" si="8"/>
        <v>10410</v>
      </c>
      <c r="I90" s="146">
        <f t="shared" si="12"/>
        <v>50903</v>
      </c>
      <c r="J90" s="146"/>
      <c r="K90" s="25"/>
      <c r="L90" s="84">
        <f t="shared" si="7"/>
        <v>10410</v>
      </c>
      <c r="M90" s="84">
        <f t="shared" si="7"/>
        <v>10410</v>
      </c>
      <c r="N90" s="84">
        <f t="shared" si="7"/>
        <v>10410</v>
      </c>
      <c r="O90" s="84">
        <f t="shared" si="7"/>
        <v>10410</v>
      </c>
      <c r="P90" s="85">
        <f t="shared" si="9"/>
        <v>9263</v>
      </c>
      <c r="Q90" s="85">
        <f t="shared" si="10"/>
        <v>0</v>
      </c>
    </row>
    <row r="91" spans="1:17">
      <c r="A91" s="164">
        <v>11117</v>
      </c>
      <c r="B91" s="168" t="s">
        <v>85</v>
      </c>
      <c r="C91" s="57">
        <f>VLOOKUP(A91,'Contribution Allocation_Report'!$A$9:$D$311,4,FALSE)</f>
        <v>4.0111095538000665E-4</v>
      </c>
      <c r="E91" s="81">
        <f>VLOOKUP(A91,Contributions_21!$A$9:$D$310,4,FALSE)</f>
        <v>4.327E-4</v>
      </c>
      <c r="F91" s="26"/>
      <c r="G91" s="82">
        <f t="shared" si="11"/>
        <v>-138743</v>
      </c>
      <c r="H91" s="146">
        <f t="shared" si="8"/>
        <v>-23556</v>
      </c>
      <c r="I91" s="146">
        <f t="shared" si="12"/>
        <v>-115187</v>
      </c>
      <c r="J91" s="146"/>
      <c r="K91" s="25"/>
      <c r="L91" s="84">
        <f t="shared" si="7"/>
        <v>-23556</v>
      </c>
      <c r="M91" s="84">
        <f t="shared" si="7"/>
        <v>-23556</v>
      </c>
      <c r="N91" s="84">
        <f t="shared" si="7"/>
        <v>-23556</v>
      </c>
      <c r="O91" s="84">
        <f t="shared" si="7"/>
        <v>-23556</v>
      </c>
      <c r="P91" s="85">
        <f t="shared" si="9"/>
        <v>-20963</v>
      </c>
      <c r="Q91" s="85">
        <f t="shared" si="10"/>
        <v>0</v>
      </c>
    </row>
    <row r="92" spans="1:17">
      <c r="A92" s="166">
        <v>16359</v>
      </c>
      <c r="B92" s="167" t="s">
        <v>86</v>
      </c>
      <c r="C92" s="56">
        <f>VLOOKUP(A92,'Contribution Allocation_Report'!$A$9:$D$311,4,FALSE)</f>
        <v>7.695006597309034E-5</v>
      </c>
      <c r="E92" s="81">
        <f>VLOOKUP(A92,Contributions_21!$A$9:$D$310,4,FALSE)</f>
        <v>6.97E-5</v>
      </c>
      <c r="F92" s="26"/>
      <c r="G92" s="82">
        <f t="shared" si="11"/>
        <v>31843</v>
      </c>
      <c r="H92" s="146">
        <f t="shared" si="8"/>
        <v>5406</v>
      </c>
      <c r="I92" s="146">
        <f t="shared" si="12"/>
        <v>26437</v>
      </c>
      <c r="J92" s="146"/>
      <c r="K92" s="25"/>
      <c r="L92" s="84">
        <f t="shared" si="7"/>
        <v>5406</v>
      </c>
      <c r="M92" s="84">
        <f t="shared" si="7"/>
        <v>5406</v>
      </c>
      <c r="N92" s="84">
        <f t="shared" si="7"/>
        <v>5406</v>
      </c>
      <c r="O92" s="84">
        <f t="shared" si="7"/>
        <v>5406</v>
      </c>
      <c r="P92" s="85">
        <f t="shared" si="9"/>
        <v>4813</v>
      </c>
      <c r="Q92" s="85">
        <f t="shared" si="10"/>
        <v>0</v>
      </c>
    </row>
    <row r="93" spans="1:17">
      <c r="A93" s="164">
        <v>17115</v>
      </c>
      <c r="B93" s="168" t="s">
        <v>87</v>
      </c>
      <c r="C93" s="57">
        <f>VLOOKUP(A93,'Contribution Allocation_Report'!$A$9:$D$311,4,FALSE)</f>
        <v>1.3069403171271986E-3</v>
      </c>
      <c r="E93" s="81">
        <f>VLOOKUP(A93,Contributions_21!$A$9:$D$310,4,FALSE)</f>
        <v>1.206E-3</v>
      </c>
      <c r="F93" s="26"/>
      <c r="G93" s="82">
        <f t="shared" si="11"/>
        <v>443342</v>
      </c>
      <c r="H93" s="146">
        <f t="shared" si="8"/>
        <v>75270</v>
      </c>
      <c r="I93" s="146">
        <f t="shared" si="12"/>
        <v>368072</v>
      </c>
      <c r="J93" s="146"/>
      <c r="K93" s="25"/>
      <c r="L93" s="84">
        <f t="shared" si="7"/>
        <v>75270</v>
      </c>
      <c r="M93" s="84">
        <f t="shared" si="7"/>
        <v>75270</v>
      </c>
      <c r="N93" s="84">
        <f t="shared" si="7"/>
        <v>75270</v>
      </c>
      <c r="O93" s="84">
        <f t="shared" si="7"/>
        <v>75270</v>
      </c>
      <c r="P93" s="85">
        <f t="shared" si="9"/>
        <v>66992</v>
      </c>
      <c r="Q93" s="85">
        <f t="shared" si="10"/>
        <v>0</v>
      </c>
    </row>
    <row r="94" spans="1:17">
      <c r="A94" s="166">
        <v>32117</v>
      </c>
      <c r="B94" s="167" t="s">
        <v>88</v>
      </c>
      <c r="C94" s="56">
        <f>VLOOKUP(A94,'Contribution Allocation_Report'!$A$9:$D$311,4,FALSE)</f>
        <v>8.20689139078488E-5</v>
      </c>
      <c r="E94" s="81">
        <f>VLOOKUP(A94,Contributions_21!$A$9:$D$310,4,FALSE)</f>
        <v>7.9400000000000006E-5</v>
      </c>
      <c r="F94" s="26"/>
      <c r="G94" s="82">
        <f t="shared" si="11"/>
        <v>11722</v>
      </c>
      <c r="H94" s="146">
        <f t="shared" si="8"/>
        <v>1990</v>
      </c>
      <c r="I94" s="146">
        <f t="shared" si="12"/>
        <v>9732</v>
      </c>
      <c r="J94" s="146"/>
      <c r="K94" s="25"/>
      <c r="L94" s="84">
        <f t="shared" si="7"/>
        <v>1990</v>
      </c>
      <c r="M94" s="84">
        <f t="shared" si="7"/>
        <v>1990</v>
      </c>
      <c r="N94" s="84">
        <f t="shared" si="7"/>
        <v>1990</v>
      </c>
      <c r="O94" s="84">
        <f t="shared" si="7"/>
        <v>1990</v>
      </c>
      <c r="P94" s="85">
        <f t="shared" si="9"/>
        <v>1772</v>
      </c>
      <c r="Q94" s="85">
        <f t="shared" si="10"/>
        <v>0</v>
      </c>
    </row>
    <row r="95" spans="1:17">
      <c r="A95" s="164">
        <v>2304</v>
      </c>
      <c r="B95" s="168" t="s">
        <v>89</v>
      </c>
      <c r="C95" s="57">
        <f>VLOOKUP(A95,'Contribution Allocation_Report'!$A$9:$D$311,4,FALSE)</f>
        <v>5.7830184542933833E-4</v>
      </c>
      <c r="E95" s="81">
        <f>VLOOKUP(A95,Contributions_21!$A$9:$D$310,4,FALSE)</f>
        <v>4.6720000000000003E-4</v>
      </c>
      <c r="F95" s="26"/>
      <c r="G95" s="82">
        <f t="shared" si="11"/>
        <v>487972</v>
      </c>
      <c r="H95" s="146">
        <f t="shared" si="8"/>
        <v>82848</v>
      </c>
      <c r="I95" s="146">
        <f t="shared" si="12"/>
        <v>405124</v>
      </c>
      <c r="K95" s="25"/>
      <c r="L95" s="84">
        <f t="shared" si="7"/>
        <v>82847</v>
      </c>
      <c r="M95" s="84">
        <f t="shared" si="7"/>
        <v>82847</v>
      </c>
      <c r="N95" s="84">
        <f t="shared" si="7"/>
        <v>82847</v>
      </c>
      <c r="O95" s="84">
        <f t="shared" si="7"/>
        <v>82847</v>
      </c>
      <c r="P95" s="85">
        <f t="shared" si="9"/>
        <v>73736</v>
      </c>
      <c r="Q95" s="85">
        <f t="shared" si="10"/>
        <v>0</v>
      </c>
    </row>
    <row r="96" spans="1:17">
      <c r="A96" s="166">
        <v>11101</v>
      </c>
      <c r="B96" s="167" t="s">
        <v>91</v>
      </c>
      <c r="C96" s="56">
        <f>VLOOKUP(A96,'Contribution Allocation_Report'!$A$9:$D$311,4,FALSE)</f>
        <v>6.8143088101338383E-3</v>
      </c>
      <c r="E96" s="81">
        <f>VLOOKUP(A96,Contributions_21!$A$9:$D$310,4,FALSE)</f>
        <v>6.3426999999999997E-3</v>
      </c>
      <c r="F96" s="26"/>
      <c r="G96" s="82">
        <f t="shared" si="11"/>
        <v>2071361</v>
      </c>
      <c r="H96" s="146">
        <f t="shared" si="8"/>
        <v>351674</v>
      </c>
      <c r="I96" s="146">
        <f t="shared" si="12"/>
        <v>1719687</v>
      </c>
      <c r="J96" s="146"/>
      <c r="K96" s="25"/>
      <c r="L96" s="84">
        <f t="shared" si="7"/>
        <v>351674</v>
      </c>
      <c r="M96" s="84">
        <f t="shared" si="7"/>
        <v>351674</v>
      </c>
      <c r="N96" s="84">
        <f t="shared" si="7"/>
        <v>351674</v>
      </c>
      <c r="O96" s="84">
        <f t="shared" si="7"/>
        <v>351674</v>
      </c>
      <c r="P96" s="85">
        <f t="shared" si="9"/>
        <v>312991</v>
      </c>
      <c r="Q96" s="85">
        <f t="shared" si="10"/>
        <v>0</v>
      </c>
    </row>
    <row r="97" spans="1:17">
      <c r="A97" s="164">
        <v>11102</v>
      </c>
      <c r="B97" s="168" t="s">
        <v>90</v>
      </c>
      <c r="C97" s="57">
        <f>VLOOKUP(A97,'Contribution Allocation_Report'!$A$9:$D$311,4,FALSE)</f>
        <v>2.073920928644067E-3</v>
      </c>
      <c r="E97" s="81">
        <f>VLOOKUP(A97,Contributions_21!$A$9:$D$310,4,FALSE)</f>
        <v>1.9902000000000001E-3</v>
      </c>
      <c r="F97" s="26"/>
      <c r="G97" s="82">
        <f t="shared" si="11"/>
        <v>367712</v>
      </c>
      <c r="H97" s="146">
        <f t="shared" si="8"/>
        <v>62430</v>
      </c>
      <c r="I97" s="146">
        <f t="shared" si="12"/>
        <v>305282</v>
      </c>
      <c r="J97" s="146"/>
      <c r="K97" s="25"/>
      <c r="L97" s="84">
        <f t="shared" si="7"/>
        <v>62430</v>
      </c>
      <c r="M97" s="84">
        <f t="shared" si="7"/>
        <v>62430</v>
      </c>
      <c r="N97" s="84">
        <f t="shared" si="7"/>
        <v>62430</v>
      </c>
      <c r="O97" s="84">
        <f t="shared" si="7"/>
        <v>62430</v>
      </c>
      <c r="P97" s="85">
        <f t="shared" si="9"/>
        <v>55562</v>
      </c>
      <c r="Q97" s="85">
        <f t="shared" si="10"/>
        <v>0</v>
      </c>
    </row>
    <row r="98" spans="1:17">
      <c r="A98" s="166">
        <v>3100</v>
      </c>
      <c r="B98" s="167" t="s">
        <v>92</v>
      </c>
      <c r="C98" s="56">
        <f>VLOOKUP(A98,'Contribution Allocation_Report'!$A$9:$D$311,4,FALSE)</f>
        <v>4.3588269876452075E-3</v>
      </c>
      <c r="E98" s="81">
        <f>VLOOKUP(A98,Contributions_21!$A$9:$D$310,4,FALSE)</f>
        <v>4.5205999999999996E-3</v>
      </c>
      <c r="F98" s="26"/>
      <c r="G98" s="82">
        <f t="shared" si="11"/>
        <v>-710526</v>
      </c>
      <c r="H98" s="146">
        <f t="shared" si="8"/>
        <v>-120633</v>
      </c>
      <c r="I98" s="146">
        <f t="shared" si="12"/>
        <v>-589893</v>
      </c>
      <c r="J98" s="146"/>
      <c r="K98" s="25"/>
      <c r="L98" s="84">
        <f t="shared" si="7"/>
        <v>-120633</v>
      </c>
      <c r="M98" s="84">
        <f t="shared" si="7"/>
        <v>-120633</v>
      </c>
      <c r="N98" s="84">
        <f t="shared" si="7"/>
        <v>-120633</v>
      </c>
      <c r="O98" s="84">
        <f t="shared" si="7"/>
        <v>-120633</v>
      </c>
      <c r="P98" s="85">
        <f t="shared" si="9"/>
        <v>-107361</v>
      </c>
      <c r="Q98" s="85">
        <f t="shared" si="10"/>
        <v>0</v>
      </c>
    </row>
    <row r="99" spans="1:17">
      <c r="A99" s="164">
        <v>2323</v>
      </c>
      <c r="B99" s="168" t="s">
        <v>93</v>
      </c>
      <c r="C99" s="57">
        <f>VLOOKUP(A99,'Contribution Allocation_Report'!$A$9:$D$311,4,FALSE)</f>
        <v>4.4453256738042897E-4</v>
      </c>
      <c r="E99" s="81">
        <f>VLOOKUP(A99,Contributions_21!$A$9:$D$310,4,FALSE)</f>
        <v>4.3120000000000002E-4</v>
      </c>
      <c r="F99" s="26"/>
      <c r="G99" s="82">
        <f t="shared" si="11"/>
        <v>58558</v>
      </c>
      <c r="H99" s="146">
        <f t="shared" si="8"/>
        <v>9942</v>
      </c>
      <c r="I99" s="146">
        <f t="shared" si="12"/>
        <v>48616</v>
      </c>
      <c r="J99" s="146"/>
      <c r="K99" s="25"/>
      <c r="L99" s="84">
        <f t="shared" si="7"/>
        <v>9942</v>
      </c>
      <c r="M99" s="84">
        <f t="shared" si="7"/>
        <v>9942</v>
      </c>
      <c r="N99" s="84">
        <f t="shared" si="7"/>
        <v>9942</v>
      </c>
      <c r="O99" s="84">
        <f t="shared" si="7"/>
        <v>9942</v>
      </c>
      <c r="P99" s="85">
        <f t="shared" si="9"/>
        <v>8848</v>
      </c>
      <c r="Q99" s="85">
        <f t="shared" si="10"/>
        <v>0</v>
      </c>
    </row>
    <row r="100" spans="1:17">
      <c r="A100" s="166">
        <v>11034</v>
      </c>
      <c r="B100" s="167" t="s">
        <v>94</v>
      </c>
      <c r="C100" s="56">
        <f>VLOOKUP(A100,'Contribution Allocation_Report'!$A$9:$D$311,4,FALSE)</f>
        <v>2.9842883459641888E-4</v>
      </c>
      <c r="E100" s="81">
        <f>VLOOKUP(A100,Contributions_21!$A$9:$D$310,4,FALSE)</f>
        <v>3.1369999999999998E-4</v>
      </c>
      <c r="F100" s="26"/>
      <c r="G100" s="82">
        <f t="shared" si="11"/>
        <v>-67073</v>
      </c>
      <c r="H100" s="146">
        <f t="shared" si="8"/>
        <v>-11388</v>
      </c>
      <c r="I100" s="146">
        <f t="shared" si="12"/>
        <v>-55685</v>
      </c>
      <c r="J100" s="146"/>
      <c r="K100" s="25"/>
      <c r="L100" s="84">
        <f t="shared" si="7"/>
        <v>-11388</v>
      </c>
      <c r="M100" s="84">
        <f t="shared" si="7"/>
        <v>-11388</v>
      </c>
      <c r="N100" s="84">
        <f t="shared" si="7"/>
        <v>-11388</v>
      </c>
      <c r="O100" s="84">
        <f t="shared" si="7"/>
        <v>-11388</v>
      </c>
      <c r="P100" s="85">
        <f t="shared" si="9"/>
        <v>-10133</v>
      </c>
      <c r="Q100" s="85">
        <f t="shared" si="10"/>
        <v>0</v>
      </c>
    </row>
    <row r="101" spans="1:17">
      <c r="A101" s="164">
        <v>17054</v>
      </c>
      <c r="B101" s="165" t="s">
        <v>95</v>
      </c>
      <c r="C101" s="66">
        <f>VLOOKUP(A101,'Contribution Allocation_Report'!$A$9:$D$311,4,FALSE)</f>
        <v>4.6728978402576478E-3</v>
      </c>
      <c r="E101" s="81">
        <f>VLOOKUP(A101,Contributions_21!$A$9:$D$310,4,FALSE)</f>
        <v>4.8520999999999998E-3</v>
      </c>
      <c r="F101" s="26"/>
      <c r="G101" s="82">
        <f t="shared" si="11"/>
        <v>-787077</v>
      </c>
      <c r="H101" s="146">
        <f t="shared" si="8"/>
        <v>-133629</v>
      </c>
      <c r="I101" s="146">
        <f t="shared" si="12"/>
        <v>-653448</v>
      </c>
      <c r="J101" s="146"/>
      <c r="K101" s="25"/>
      <c r="L101" s="84">
        <f t="shared" si="7"/>
        <v>-133629</v>
      </c>
      <c r="M101" s="84">
        <f t="shared" si="7"/>
        <v>-133629</v>
      </c>
      <c r="N101" s="84">
        <f t="shared" si="7"/>
        <v>-133629</v>
      </c>
      <c r="O101" s="84">
        <f t="shared" si="7"/>
        <v>-133629</v>
      </c>
      <c r="P101" s="85">
        <f t="shared" si="9"/>
        <v>-118932</v>
      </c>
      <c r="Q101" s="85">
        <f t="shared" si="10"/>
        <v>0</v>
      </c>
    </row>
    <row r="102" spans="1:17">
      <c r="A102" s="166">
        <v>22065</v>
      </c>
      <c r="B102" s="167" t="s">
        <v>96</v>
      </c>
      <c r="C102" s="56">
        <f>VLOOKUP(A102,'Contribution Allocation_Report'!$A$9:$D$311,4,FALSE)</f>
        <v>1.0456920376261311E-3</v>
      </c>
      <c r="E102" s="81">
        <f>VLOOKUP(A102,Contributions_21!$A$9:$D$310,4,FALSE)</f>
        <v>1.0147999999999999E-3</v>
      </c>
      <c r="F102" s="26"/>
      <c r="G102" s="82">
        <f t="shared" si="11"/>
        <v>135681</v>
      </c>
      <c r="H102" s="146">
        <f t="shared" si="8"/>
        <v>23036</v>
      </c>
      <c r="I102" s="146">
        <f t="shared" si="12"/>
        <v>112645</v>
      </c>
      <c r="J102" s="146"/>
      <c r="K102" s="25"/>
      <c r="L102" s="84">
        <f t="shared" si="7"/>
        <v>23036</v>
      </c>
      <c r="M102" s="84">
        <f t="shared" si="7"/>
        <v>23036</v>
      </c>
      <c r="N102" s="84">
        <f t="shared" si="7"/>
        <v>23036</v>
      </c>
      <c r="O102" s="84">
        <f t="shared" si="7"/>
        <v>23036</v>
      </c>
      <c r="P102" s="85">
        <f t="shared" si="9"/>
        <v>20501</v>
      </c>
      <c r="Q102" s="85">
        <f t="shared" si="10"/>
        <v>0</v>
      </c>
    </row>
    <row r="103" spans="1:17">
      <c r="A103" s="164">
        <v>22201</v>
      </c>
      <c r="B103" s="168" t="s">
        <v>97</v>
      </c>
      <c r="C103" s="57">
        <f>VLOOKUP(A103,'Contribution Allocation_Report'!$A$9:$D$311,4,FALSE)</f>
        <v>5.3643557568601571E-4</v>
      </c>
      <c r="E103" s="81">
        <f>VLOOKUP(A103,Contributions_21!$A$9:$D$310,4,FALSE)</f>
        <v>5.0409999999999995E-4</v>
      </c>
      <c r="F103" s="26"/>
      <c r="G103" s="82">
        <f t="shared" si="11"/>
        <v>142022</v>
      </c>
      <c r="H103" s="146">
        <f t="shared" si="8"/>
        <v>24112</v>
      </c>
      <c r="I103" s="146">
        <f t="shared" si="12"/>
        <v>117910</v>
      </c>
      <c r="J103" s="146"/>
      <c r="K103" s="25"/>
      <c r="L103" s="84">
        <f t="shared" si="7"/>
        <v>24112</v>
      </c>
      <c r="M103" s="84">
        <f t="shared" si="7"/>
        <v>24112</v>
      </c>
      <c r="N103" s="84">
        <f t="shared" si="7"/>
        <v>24112</v>
      </c>
      <c r="O103" s="84">
        <f t="shared" si="7"/>
        <v>24112</v>
      </c>
      <c r="P103" s="85">
        <f t="shared" si="9"/>
        <v>21462</v>
      </c>
      <c r="Q103" s="85">
        <f t="shared" si="10"/>
        <v>0</v>
      </c>
    </row>
    <row r="104" spans="1:17">
      <c r="A104" s="166">
        <v>6016</v>
      </c>
      <c r="B104" s="167" t="s">
        <v>98</v>
      </c>
      <c r="C104" s="56">
        <f>VLOOKUP(A104,'Contribution Allocation_Report'!$A$9:$D$311,4,FALSE)</f>
        <v>1.0925787159208515E-3</v>
      </c>
      <c r="E104" s="81">
        <f>VLOOKUP(A104,Contributions_21!$A$9:$D$310,4,FALSE)</f>
        <v>1.0231000000000001E-3</v>
      </c>
      <c r="F104" s="26"/>
      <c r="G104" s="82">
        <f t="shared" si="11"/>
        <v>305159</v>
      </c>
      <c r="H104" s="146">
        <f t="shared" si="8"/>
        <v>51810</v>
      </c>
      <c r="I104" s="146">
        <f t="shared" si="12"/>
        <v>253349</v>
      </c>
      <c r="J104" s="146"/>
      <c r="K104" s="25"/>
      <c r="L104" s="84">
        <f t="shared" si="7"/>
        <v>51810</v>
      </c>
      <c r="M104" s="84">
        <f t="shared" si="7"/>
        <v>51810</v>
      </c>
      <c r="N104" s="84">
        <f t="shared" si="7"/>
        <v>51810</v>
      </c>
      <c r="O104" s="84">
        <f t="shared" si="7"/>
        <v>51810</v>
      </c>
      <c r="P104" s="85">
        <f t="shared" si="9"/>
        <v>46109</v>
      </c>
      <c r="Q104" s="85">
        <f t="shared" si="10"/>
        <v>0</v>
      </c>
    </row>
    <row r="105" spans="1:17">
      <c r="A105" s="164">
        <v>7440</v>
      </c>
      <c r="B105" s="168" t="s">
        <v>532</v>
      </c>
      <c r="C105" s="57">
        <f>VLOOKUP(A105,'Contribution Allocation_Report'!$A$9:$D$311,4,FALSE)</f>
        <v>1.1489844825865555E-4</v>
      </c>
      <c r="E105" s="81">
        <v>0</v>
      </c>
      <c r="F105" s="26"/>
      <c r="G105" s="82">
        <f t="shared" si="11"/>
        <v>504647</v>
      </c>
      <c r="H105" s="146">
        <f t="shared" si="8"/>
        <v>85679</v>
      </c>
      <c r="I105" s="146">
        <f t="shared" si="12"/>
        <v>418968</v>
      </c>
      <c r="J105" s="146"/>
      <c r="K105" s="25"/>
      <c r="L105" s="84">
        <f t="shared" si="7"/>
        <v>85679</v>
      </c>
      <c r="M105" s="84">
        <f t="shared" si="7"/>
        <v>85679</v>
      </c>
      <c r="N105" s="84">
        <f t="shared" si="7"/>
        <v>85679</v>
      </c>
      <c r="O105" s="84">
        <f t="shared" si="7"/>
        <v>85679</v>
      </c>
      <c r="P105" s="85">
        <f t="shared" si="9"/>
        <v>76252</v>
      </c>
      <c r="Q105" s="85">
        <f t="shared" si="10"/>
        <v>0</v>
      </c>
    </row>
    <row r="106" spans="1:17">
      <c r="A106" s="166">
        <v>2432</v>
      </c>
      <c r="B106" s="167" t="s">
        <v>99</v>
      </c>
      <c r="C106" s="56">
        <f>VLOOKUP(A106,'Contribution Allocation_Report'!$A$9:$D$311,4,FALSE)</f>
        <v>1.1407057304459172E-3</v>
      </c>
      <c r="E106" s="81">
        <f>VLOOKUP(A106,Contributions_21!$A$9:$D$310,4,FALSE)</f>
        <v>7.2939999999999995E-4</v>
      </c>
      <c r="F106" s="26"/>
      <c r="G106" s="82">
        <f t="shared" si="11"/>
        <v>1806503</v>
      </c>
      <c r="H106" s="146">
        <f t="shared" si="8"/>
        <v>306707</v>
      </c>
      <c r="I106" s="146">
        <f t="shared" si="12"/>
        <v>1499796</v>
      </c>
      <c r="J106" s="146"/>
      <c r="K106" s="25"/>
      <c r="L106" s="84">
        <f t="shared" si="7"/>
        <v>306707</v>
      </c>
      <c r="M106" s="84">
        <f t="shared" si="7"/>
        <v>306707</v>
      </c>
      <c r="N106" s="84">
        <f t="shared" si="7"/>
        <v>306707</v>
      </c>
      <c r="O106" s="84">
        <f t="shared" si="7"/>
        <v>306707</v>
      </c>
      <c r="P106" s="85">
        <f t="shared" si="9"/>
        <v>272968</v>
      </c>
      <c r="Q106" s="85">
        <f t="shared" si="10"/>
        <v>0</v>
      </c>
    </row>
    <row r="107" spans="1:17">
      <c r="A107" s="164">
        <v>16052</v>
      </c>
      <c r="B107" s="168" t="s">
        <v>100</v>
      </c>
      <c r="C107" s="57">
        <f>VLOOKUP(A107,'Contribution Allocation_Report'!$A$9:$D$311,4,FALSE)</f>
        <v>1.3390443532226367E-2</v>
      </c>
      <c r="E107" s="81">
        <f>VLOOKUP(A107,Contributions_21!$A$9:$D$310,4,FALSE)</f>
        <v>1.3478E-2</v>
      </c>
      <c r="F107" s="26"/>
      <c r="G107" s="82">
        <f t="shared" si="11"/>
        <v>-384558</v>
      </c>
      <c r="H107" s="146">
        <f t="shared" si="8"/>
        <v>-65290</v>
      </c>
      <c r="I107" s="146">
        <f t="shared" si="12"/>
        <v>-319268</v>
      </c>
      <c r="J107" s="146"/>
      <c r="K107" s="25"/>
      <c r="L107" s="84">
        <f t="shared" si="7"/>
        <v>-65290</v>
      </c>
      <c r="M107" s="84">
        <f t="shared" si="7"/>
        <v>-65290</v>
      </c>
      <c r="N107" s="84">
        <f t="shared" si="7"/>
        <v>-65290</v>
      </c>
      <c r="O107" s="84">
        <f t="shared" si="7"/>
        <v>-65290</v>
      </c>
      <c r="P107" s="85">
        <f t="shared" si="9"/>
        <v>-58108</v>
      </c>
      <c r="Q107" s="85">
        <f t="shared" si="10"/>
        <v>0</v>
      </c>
    </row>
    <row r="108" spans="1:17">
      <c r="A108" s="166">
        <v>11118</v>
      </c>
      <c r="B108" s="167" t="s">
        <v>101</v>
      </c>
      <c r="C108" s="56">
        <f>VLOOKUP(A108,'Contribution Allocation_Report'!$A$9:$D$311,4,FALSE)</f>
        <v>3.6372367757959767E-4</v>
      </c>
      <c r="E108" s="81">
        <f>VLOOKUP(A108,Contributions_21!$A$9:$D$310,4,FALSE)</f>
        <v>3.5040000000000001E-4</v>
      </c>
      <c r="F108" s="26"/>
      <c r="G108" s="82">
        <f t="shared" si="11"/>
        <v>58519</v>
      </c>
      <c r="H108" s="146">
        <f t="shared" si="8"/>
        <v>9935</v>
      </c>
      <c r="I108" s="146">
        <f t="shared" si="12"/>
        <v>48584</v>
      </c>
      <c r="J108" s="146"/>
      <c r="K108" s="25"/>
      <c r="L108" s="84">
        <f t="shared" si="7"/>
        <v>9935</v>
      </c>
      <c r="M108" s="84">
        <f t="shared" si="7"/>
        <v>9935</v>
      </c>
      <c r="N108" s="84">
        <f t="shared" si="7"/>
        <v>9935</v>
      </c>
      <c r="O108" s="84">
        <f t="shared" si="7"/>
        <v>9935</v>
      </c>
      <c r="P108" s="85">
        <f t="shared" si="9"/>
        <v>8844</v>
      </c>
      <c r="Q108" s="85">
        <f t="shared" si="10"/>
        <v>0</v>
      </c>
    </row>
    <row r="109" spans="1:17">
      <c r="A109" s="164">
        <v>27083</v>
      </c>
      <c r="B109" s="168" t="s">
        <v>102</v>
      </c>
      <c r="C109" s="57">
        <f>VLOOKUP(A109,'Contribution Allocation_Report'!$A$9:$D$311,4,FALSE)</f>
        <v>5.513589862035039E-4</v>
      </c>
      <c r="E109" s="81">
        <f>VLOOKUP(A109,Contributions_21!$A$9:$D$310,4,FALSE)</f>
        <v>5.4929999999999996E-4</v>
      </c>
      <c r="F109" s="26"/>
      <c r="G109" s="82">
        <f t="shared" si="11"/>
        <v>9043</v>
      </c>
      <c r="H109" s="146">
        <f t="shared" si="8"/>
        <v>1535</v>
      </c>
      <c r="I109" s="146">
        <f t="shared" si="12"/>
        <v>7508</v>
      </c>
      <c r="J109" s="146"/>
      <c r="K109" s="25"/>
      <c r="L109" s="84">
        <f t="shared" si="7"/>
        <v>1535</v>
      </c>
      <c r="M109" s="84">
        <f t="shared" si="7"/>
        <v>1535</v>
      </c>
      <c r="N109" s="84">
        <f t="shared" si="7"/>
        <v>1535</v>
      </c>
      <c r="O109" s="84">
        <f t="shared" si="7"/>
        <v>1535</v>
      </c>
      <c r="P109" s="85">
        <f t="shared" si="9"/>
        <v>1368</v>
      </c>
      <c r="Q109" s="85">
        <f t="shared" si="10"/>
        <v>0</v>
      </c>
    </row>
    <row r="110" spans="1:17">
      <c r="A110" s="166">
        <v>7021</v>
      </c>
      <c r="B110" s="167" t="s">
        <v>103</v>
      </c>
      <c r="C110" s="56">
        <f>VLOOKUP(A110,'Contribution Allocation_Report'!$A$9:$D$311,4,FALSE)</f>
        <v>1.7977157692351687E-2</v>
      </c>
      <c r="E110" s="81">
        <f>VLOOKUP(A110,Contributions_21!$A$9:$D$310,4,FALSE)</f>
        <v>1.83094E-2</v>
      </c>
      <c r="F110" s="26"/>
      <c r="G110" s="82">
        <f t="shared" si="11"/>
        <v>-1459247</v>
      </c>
      <c r="H110" s="146">
        <f t="shared" si="8"/>
        <v>-247750</v>
      </c>
      <c r="I110" s="146">
        <f t="shared" si="12"/>
        <v>-1211497</v>
      </c>
      <c r="J110" s="146"/>
      <c r="K110" s="25"/>
      <c r="L110" s="84">
        <f t="shared" si="7"/>
        <v>-247750</v>
      </c>
      <c r="M110" s="84">
        <f t="shared" si="7"/>
        <v>-247750</v>
      </c>
      <c r="N110" s="84">
        <f t="shared" si="7"/>
        <v>-247750</v>
      </c>
      <c r="O110" s="84">
        <f t="shared" si="7"/>
        <v>-247750</v>
      </c>
      <c r="P110" s="85">
        <f t="shared" si="9"/>
        <v>-220497</v>
      </c>
      <c r="Q110" s="85">
        <f t="shared" si="10"/>
        <v>0</v>
      </c>
    </row>
    <row r="111" spans="1:17">
      <c r="A111" s="164">
        <v>4140</v>
      </c>
      <c r="B111" s="168" t="s">
        <v>104</v>
      </c>
      <c r="C111" s="57">
        <f>VLOOKUP(A111,'Contribution Allocation_Report'!$A$9:$D$311,4,FALSE)</f>
        <v>1.1023242148735648E-4</v>
      </c>
      <c r="E111" s="81">
        <f>VLOOKUP(A111,Contributions_21!$A$9:$D$310,4,FALSE)</f>
        <v>1.193E-4</v>
      </c>
      <c r="F111" s="26"/>
      <c r="G111" s="82">
        <f t="shared" si="11"/>
        <v>-39826</v>
      </c>
      <c r="H111" s="146">
        <f t="shared" si="8"/>
        <v>-6762</v>
      </c>
      <c r="I111" s="146">
        <f t="shared" si="12"/>
        <v>-33064</v>
      </c>
      <c r="J111" s="146"/>
      <c r="K111" s="25"/>
      <c r="L111" s="84">
        <f t="shared" si="7"/>
        <v>-6762</v>
      </c>
      <c r="M111" s="84">
        <f t="shared" si="7"/>
        <v>-6762</v>
      </c>
      <c r="N111" s="84">
        <f t="shared" si="7"/>
        <v>-6762</v>
      </c>
      <c r="O111" s="84">
        <f t="shared" si="7"/>
        <v>-6762</v>
      </c>
      <c r="P111" s="85">
        <f t="shared" si="9"/>
        <v>-6016</v>
      </c>
      <c r="Q111" s="85">
        <f t="shared" si="10"/>
        <v>0</v>
      </c>
    </row>
    <row r="112" spans="1:17">
      <c r="A112" s="166">
        <v>13041</v>
      </c>
      <c r="B112" s="167" t="s">
        <v>105</v>
      </c>
      <c r="C112" s="56">
        <f>VLOOKUP(A112,'Contribution Allocation_Report'!$A$9:$D$311,4,FALSE)</f>
        <v>1.5775797138008807E-2</v>
      </c>
      <c r="E112" s="81">
        <f>VLOOKUP(A112,Contributions_21!$A$9:$D$310,4,FALSE)</f>
        <v>1.62338E-2</v>
      </c>
      <c r="F112" s="26"/>
      <c r="G112" s="82">
        <f t="shared" si="11"/>
        <v>-2011602</v>
      </c>
      <c r="H112" s="146">
        <f t="shared" si="8"/>
        <v>-341528</v>
      </c>
      <c r="I112" s="146">
        <f t="shared" si="12"/>
        <v>-1670074</v>
      </c>
      <c r="J112" s="146"/>
      <c r="K112" s="25"/>
      <c r="L112" s="84">
        <f t="shared" si="7"/>
        <v>-341528</v>
      </c>
      <c r="M112" s="84">
        <f t="shared" si="7"/>
        <v>-341528</v>
      </c>
      <c r="N112" s="84">
        <f t="shared" si="7"/>
        <v>-341528</v>
      </c>
      <c r="O112" s="84">
        <f t="shared" si="7"/>
        <v>-341528</v>
      </c>
      <c r="P112" s="85">
        <f t="shared" si="9"/>
        <v>-303962</v>
      </c>
      <c r="Q112" s="85">
        <f t="shared" si="10"/>
        <v>0</v>
      </c>
    </row>
    <row r="113" spans="1:17">
      <c r="A113" s="164">
        <v>2339</v>
      </c>
      <c r="B113" s="168" t="s">
        <v>106</v>
      </c>
      <c r="C113" s="57">
        <f>VLOOKUP(A113,'Contribution Allocation_Report'!$A$9:$D$311,4,FALSE)</f>
        <v>2.1008933196849097E-4</v>
      </c>
      <c r="E113" s="81">
        <f>VLOOKUP(A113,Contributions_21!$A$9:$D$310,4,FALSE)</f>
        <v>2.3910000000000001E-4</v>
      </c>
      <c r="F113" s="26"/>
      <c r="G113" s="82">
        <f t="shared" si="11"/>
        <v>-127418</v>
      </c>
      <c r="H113" s="146">
        <f t="shared" si="8"/>
        <v>-21633</v>
      </c>
      <c r="I113" s="146">
        <f t="shared" si="12"/>
        <v>-105785</v>
      </c>
      <c r="J113" s="146"/>
      <c r="K113" s="25"/>
      <c r="L113" s="84">
        <f t="shared" si="7"/>
        <v>-21633</v>
      </c>
      <c r="M113" s="84">
        <f t="shared" si="7"/>
        <v>-21633</v>
      </c>
      <c r="N113" s="84">
        <f t="shared" si="7"/>
        <v>-21633</v>
      </c>
      <c r="O113" s="84">
        <f t="shared" si="7"/>
        <v>-21633</v>
      </c>
      <c r="P113" s="85">
        <f t="shared" si="9"/>
        <v>-19253</v>
      </c>
      <c r="Q113" s="85">
        <f t="shared" si="10"/>
        <v>0</v>
      </c>
    </row>
    <row r="114" spans="1:17">
      <c r="A114" s="166">
        <v>2362</v>
      </c>
      <c r="B114" s="167" t="s">
        <v>107</v>
      </c>
      <c r="C114" s="56">
        <f>VLOOKUP(A114,'Contribution Allocation_Report'!$A$9:$D$311,4,FALSE)</f>
        <v>3.2657265429925444E-4</v>
      </c>
      <c r="E114" s="81">
        <f>VLOOKUP(A114,Contributions_21!$A$9:$D$310,4,FALSE)</f>
        <v>3.0590000000000001E-4</v>
      </c>
      <c r="F114" s="26"/>
      <c r="G114" s="82">
        <f t="shared" si="11"/>
        <v>90797</v>
      </c>
      <c r="H114" s="146">
        <f t="shared" si="8"/>
        <v>15415</v>
      </c>
      <c r="I114" s="146">
        <f t="shared" si="12"/>
        <v>75382</v>
      </c>
      <c r="J114" s="146"/>
      <c r="K114" s="25"/>
      <c r="L114" s="84">
        <f t="shared" si="7"/>
        <v>15416</v>
      </c>
      <c r="M114" s="84">
        <f t="shared" si="7"/>
        <v>15416</v>
      </c>
      <c r="N114" s="84">
        <f t="shared" si="7"/>
        <v>15416</v>
      </c>
      <c r="O114" s="84">
        <f t="shared" si="7"/>
        <v>15416</v>
      </c>
      <c r="P114" s="85">
        <f t="shared" si="9"/>
        <v>13718</v>
      </c>
      <c r="Q114" s="85">
        <f t="shared" si="10"/>
        <v>0</v>
      </c>
    </row>
    <row r="115" spans="1:17">
      <c r="A115" s="164">
        <v>5013</v>
      </c>
      <c r="B115" s="168" t="s">
        <v>108</v>
      </c>
      <c r="C115" s="57">
        <f>VLOOKUP(A115,'Contribution Allocation_Report'!$A$9:$D$311,4,FALSE)</f>
        <v>2.8891959016377143E-4</v>
      </c>
      <c r="E115" s="81">
        <f>VLOOKUP(A115,Contributions_21!$A$9:$D$310,4,FALSE)</f>
        <v>2.9320000000000003E-4</v>
      </c>
      <c r="F115" s="26"/>
      <c r="G115" s="82">
        <f t="shared" si="11"/>
        <v>-18800</v>
      </c>
      <c r="H115" s="146">
        <f t="shared" si="8"/>
        <v>-3192</v>
      </c>
      <c r="I115" s="146">
        <f t="shared" si="12"/>
        <v>-15608</v>
      </c>
      <c r="J115" s="146"/>
      <c r="K115" s="25"/>
      <c r="L115" s="84">
        <f t="shared" si="7"/>
        <v>-3192</v>
      </c>
      <c r="M115" s="84">
        <f t="shared" si="7"/>
        <v>-3192</v>
      </c>
      <c r="N115" s="84">
        <f t="shared" si="7"/>
        <v>-3192</v>
      </c>
      <c r="O115" s="84">
        <f t="shared" si="7"/>
        <v>-3192</v>
      </c>
      <c r="P115" s="85">
        <f t="shared" si="9"/>
        <v>-2840</v>
      </c>
      <c r="Q115" s="85">
        <f t="shared" si="10"/>
        <v>0</v>
      </c>
    </row>
    <row r="116" spans="1:17">
      <c r="A116" s="166">
        <v>3110</v>
      </c>
      <c r="B116" s="167" t="s">
        <v>109</v>
      </c>
      <c r="C116" s="56">
        <f>VLOOKUP(A116,'Contribution Allocation_Report'!$A$9:$D$311,4,FALSE)</f>
        <v>1.4076241184285633E-3</v>
      </c>
      <c r="E116" s="81">
        <f>VLOOKUP(A116,Contributions_21!$A$9:$D$310,4,FALSE)</f>
        <v>1.4804E-3</v>
      </c>
      <c r="F116" s="26"/>
      <c r="G116" s="82">
        <f t="shared" si="11"/>
        <v>-319640</v>
      </c>
      <c r="H116" s="146">
        <f t="shared" si="8"/>
        <v>-54268</v>
      </c>
      <c r="I116" s="146">
        <f t="shared" si="12"/>
        <v>-265372</v>
      </c>
      <c r="J116" s="146"/>
      <c r="K116" s="25"/>
      <c r="L116" s="84">
        <f t="shared" si="7"/>
        <v>-54268</v>
      </c>
      <c r="M116" s="84">
        <f t="shared" si="7"/>
        <v>-54268</v>
      </c>
      <c r="N116" s="84">
        <f t="shared" si="7"/>
        <v>-54268</v>
      </c>
      <c r="O116" s="84">
        <f t="shared" si="7"/>
        <v>-54268</v>
      </c>
      <c r="P116" s="85">
        <f t="shared" si="9"/>
        <v>-48300</v>
      </c>
      <c r="Q116" s="85">
        <f t="shared" si="10"/>
        <v>0</v>
      </c>
    </row>
    <row r="117" spans="1:17">
      <c r="A117" s="164">
        <v>14044</v>
      </c>
      <c r="B117" s="168" t="s">
        <v>110</v>
      </c>
      <c r="C117" s="57">
        <f>VLOOKUP(A117,'Contribution Allocation_Report'!$A$9:$D$311,4,FALSE)</f>
        <v>4.4745523267240937E-3</v>
      </c>
      <c r="E117" s="81">
        <f>VLOOKUP(A117,Contributions_21!$A$9:$D$310,4,FALSE)</f>
        <v>4.7152000000000001E-3</v>
      </c>
      <c r="F117" s="26"/>
      <c r="G117" s="82">
        <f t="shared" si="11"/>
        <v>-1056953</v>
      </c>
      <c r="H117" s="146">
        <f t="shared" si="8"/>
        <v>-179449</v>
      </c>
      <c r="I117" s="146">
        <f t="shared" si="12"/>
        <v>-877504</v>
      </c>
      <c r="J117" s="146"/>
      <c r="K117" s="25"/>
      <c r="L117" s="84">
        <f t="shared" si="7"/>
        <v>-179449</v>
      </c>
      <c r="M117" s="84">
        <f t="shared" si="7"/>
        <v>-179449</v>
      </c>
      <c r="N117" s="84">
        <f t="shared" si="7"/>
        <v>-179449</v>
      </c>
      <c r="O117" s="84">
        <f t="shared" si="7"/>
        <v>-179449</v>
      </c>
      <c r="P117" s="85">
        <f t="shared" si="9"/>
        <v>-159708</v>
      </c>
      <c r="Q117" s="85">
        <f t="shared" si="10"/>
        <v>0</v>
      </c>
    </row>
    <row r="118" spans="1:17">
      <c r="A118" s="166">
        <v>4009</v>
      </c>
      <c r="B118" s="167" t="s">
        <v>111</v>
      </c>
      <c r="C118" s="56">
        <f>VLOOKUP(A118,'Contribution Allocation_Report'!$A$9:$D$311,4,FALSE)</f>
        <v>5.8033954066490567E-4</v>
      </c>
      <c r="E118" s="81">
        <f>VLOOKUP(A118,Contributions_21!$A$9:$D$310,4,FALSE)</f>
        <v>6.3089999999999999E-4</v>
      </c>
      <c r="F118" s="26"/>
      <c r="G118" s="82">
        <f t="shared" si="11"/>
        <v>-222067</v>
      </c>
      <c r="H118" s="146">
        <f t="shared" si="8"/>
        <v>-37702</v>
      </c>
      <c r="I118" s="146">
        <f t="shared" si="12"/>
        <v>-184365</v>
      </c>
      <c r="J118" s="146"/>
      <c r="K118" s="25"/>
      <c r="L118" s="84">
        <f t="shared" si="7"/>
        <v>-37702</v>
      </c>
      <c r="M118" s="84">
        <f t="shared" si="7"/>
        <v>-37702</v>
      </c>
      <c r="N118" s="84">
        <f t="shared" si="7"/>
        <v>-37702</v>
      </c>
      <c r="O118" s="84">
        <f t="shared" si="7"/>
        <v>-37702</v>
      </c>
      <c r="P118" s="85">
        <f t="shared" si="9"/>
        <v>-33557</v>
      </c>
      <c r="Q118" s="85">
        <f t="shared" si="10"/>
        <v>0</v>
      </c>
    </row>
    <row r="119" spans="1:17">
      <c r="A119" s="164">
        <v>7022</v>
      </c>
      <c r="B119" s="168" t="s">
        <v>112</v>
      </c>
      <c r="C119" s="57">
        <f>VLOOKUP(A119,'Contribution Allocation_Report'!$A$9:$D$311,4,FALSE)</f>
        <v>1.8014013397481949E-3</v>
      </c>
      <c r="E119" s="81">
        <f>VLOOKUP(A119,Contributions_21!$A$9:$D$310,4,FALSE)</f>
        <v>1.6685999999999999E-3</v>
      </c>
      <c r="F119" s="26"/>
      <c r="G119" s="82">
        <f t="shared" si="11"/>
        <v>583279</v>
      </c>
      <c r="H119" s="146">
        <f t="shared" si="8"/>
        <v>99029</v>
      </c>
      <c r="I119" s="146">
        <f t="shared" si="12"/>
        <v>484250</v>
      </c>
      <c r="J119" s="146"/>
      <c r="K119" s="25"/>
      <c r="L119" s="84">
        <f t="shared" si="7"/>
        <v>99029</v>
      </c>
      <c r="M119" s="84">
        <f t="shared" si="7"/>
        <v>99029</v>
      </c>
      <c r="N119" s="84">
        <f t="shared" si="7"/>
        <v>99029</v>
      </c>
      <c r="O119" s="84">
        <f t="shared" si="7"/>
        <v>99029</v>
      </c>
      <c r="P119" s="85">
        <f t="shared" si="9"/>
        <v>88134</v>
      </c>
      <c r="Q119" s="85">
        <f t="shared" si="10"/>
        <v>0</v>
      </c>
    </row>
    <row r="120" spans="1:17">
      <c r="A120" s="166">
        <v>2430</v>
      </c>
      <c r="B120" s="167" t="s">
        <v>113</v>
      </c>
      <c r="C120" s="56">
        <f>VLOOKUP(A120,'Contribution Allocation_Report'!$A$9:$D$311,4,FALSE)</f>
        <v>2.5668069211312914E-4</v>
      </c>
      <c r="E120" s="81">
        <f>VLOOKUP(A120,Contributions_21!$A$9:$D$310,4,FALSE)</f>
        <v>2.588E-4</v>
      </c>
      <c r="F120" s="26"/>
      <c r="G120" s="82">
        <f t="shared" si="11"/>
        <v>-9308</v>
      </c>
      <c r="H120" s="146">
        <f t="shared" si="8"/>
        <v>-1580</v>
      </c>
      <c r="I120" s="146">
        <f t="shared" si="12"/>
        <v>-7728</v>
      </c>
      <c r="J120" s="146"/>
      <c r="K120" s="25"/>
      <c r="L120" s="84">
        <f t="shared" si="7"/>
        <v>-1580</v>
      </c>
      <c r="M120" s="84">
        <f t="shared" si="7"/>
        <v>-1580</v>
      </c>
      <c r="N120" s="84">
        <f t="shared" si="7"/>
        <v>-1580</v>
      </c>
      <c r="O120" s="84">
        <f t="shared" si="7"/>
        <v>-1580</v>
      </c>
      <c r="P120" s="85">
        <f t="shared" si="9"/>
        <v>-1408</v>
      </c>
      <c r="Q120" s="85">
        <f t="shared" si="10"/>
        <v>0</v>
      </c>
    </row>
    <row r="121" spans="1:17">
      <c r="A121" s="164">
        <v>9150</v>
      </c>
      <c r="B121" s="168" t="s">
        <v>114</v>
      </c>
      <c r="C121" s="57">
        <f>VLOOKUP(A121,'Contribution Allocation_Report'!$A$9:$D$311,4,FALSE)</f>
        <v>1.3390709318561439E-4</v>
      </c>
      <c r="E121" s="81">
        <f>VLOOKUP(A121,Contributions_21!$A$9:$D$310,4,FALSE)</f>
        <v>1.3860000000000001E-4</v>
      </c>
      <c r="F121" s="26"/>
      <c r="G121" s="82">
        <f t="shared" si="11"/>
        <v>-20612</v>
      </c>
      <c r="H121" s="146">
        <f t="shared" si="8"/>
        <v>-3499</v>
      </c>
      <c r="I121" s="146">
        <f t="shared" si="12"/>
        <v>-17113</v>
      </c>
      <c r="J121" s="146"/>
      <c r="K121" s="25"/>
      <c r="L121" s="84">
        <f t="shared" si="7"/>
        <v>-3500</v>
      </c>
      <c r="M121" s="84">
        <f t="shared" si="7"/>
        <v>-3500</v>
      </c>
      <c r="N121" s="84">
        <f t="shared" si="7"/>
        <v>-3500</v>
      </c>
      <c r="O121" s="84">
        <f t="shared" si="7"/>
        <v>-3500</v>
      </c>
      <c r="P121" s="85">
        <f t="shared" si="9"/>
        <v>-3113</v>
      </c>
      <c r="Q121" s="85">
        <f t="shared" si="10"/>
        <v>0</v>
      </c>
    </row>
    <row r="122" spans="1:17">
      <c r="A122" s="166">
        <v>6017</v>
      </c>
      <c r="B122" s="167" t="s">
        <v>115</v>
      </c>
      <c r="C122" s="56">
        <f>VLOOKUP(A122,'Contribution Allocation_Report'!$A$9:$D$311,4,FALSE)</f>
        <v>1.2553590646400044E-2</v>
      </c>
      <c r="E122" s="81">
        <f>VLOOKUP(A122,Contributions_21!$A$9:$D$310,4,FALSE)</f>
        <v>1.27368E-2</v>
      </c>
      <c r="F122" s="26"/>
      <c r="G122" s="82">
        <f t="shared" si="11"/>
        <v>-804677</v>
      </c>
      <c r="H122" s="146">
        <f t="shared" si="8"/>
        <v>-136617</v>
      </c>
      <c r="I122" s="146">
        <f t="shared" si="12"/>
        <v>-668060</v>
      </c>
      <c r="J122" s="146"/>
      <c r="K122" s="25"/>
      <c r="L122" s="84">
        <f t="shared" si="7"/>
        <v>-136618</v>
      </c>
      <c r="M122" s="84">
        <f t="shared" si="7"/>
        <v>-136618</v>
      </c>
      <c r="N122" s="84">
        <f t="shared" si="7"/>
        <v>-136618</v>
      </c>
      <c r="O122" s="84">
        <f t="shared" si="7"/>
        <v>-136618</v>
      </c>
      <c r="P122" s="85">
        <f t="shared" si="9"/>
        <v>-121588</v>
      </c>
      <c r="Q122" s="85">
        <f t="shared" si="10"/>
        <v>0</v>
      </c>
    </row>
    <row r="123" spans="1:17">
      <c r="A123" s="164">
        <v>26080</v>
      </c>
      <c r="B123" s="168" t="s">
        <v>116</v>
      </c>
      <c r="C123" s="57">
        <f>VLOOKUP(A123,'Contribution Allocation_Report'!$A$9:$D$311,4,FALSE)</f>
        <v>4.0270567339045061E-4</v>
      </c>
      <c r="E123" s="81">
        <f>VLOOKUP(A123,Contributions_21!$A$9:$D$310,4,FALSE)</f>
        <v>3.481E-4</v>
      </c>
      <c r="F123" s="26"/>
      <c r="G123" s="82">
        <f t="shared" si="11"/>
        <v>239835</v>
      </c>
      <c r="H123" s="146">
        <f t="shared" si="8"/>
        <v>40719</v>
      </c>
      <c r="I123" s="146">
        <f t="shared" si="12"/>
        <v>199116</v>
      </c>
      <c r="J123" s="146"/>
      <c r="K123" s="25"/>
      <c r="L123" s="84">
        <f t="shared" si="7"/>
        <v>40719</v>
      </c>
      <c r="M123" s="84">
        <f t="shared" si="7"/>
        <v>40719</v>
      </c>
      <c r="N123" s="84">
        <f t="shared" si="7"/>
        <v>40719</v>
      </c>
      <c r="O123" s="84">
        <f t="shared" si="7"/>
        <v>40719</v>
      </c>
      <c r="P123" s="85">
        <f t="shared" si="9"/>
        <v>36240</v>
      </c>
      <c r="Q123" s="85">
        <f t="shared" si="10"/>
        <v>0</v>
      </c>
    </row>
    <row r="124" spans="1:17">
      <c r="A124" s="166">
        <v>2327</v>
      </c>
      <c r="B124" s="167" t="s">
        <v>117</v>
      </c>
      <c r="C124" s="56">
        <f>VLOOKUP(A124,'Contribution Allocation_Report'!$A$9:$D$311,4,FALSE)</f>
        <v>4.3155825665348348E-4</v>
      </c>
      <c r="E124" s="81">
        <f>VLOOKUP(A124,Contributions_21!$A$9:$D$310,4,FALSE)</f>
        <v>4.325E-4</v>
      </c>
      <c r="F124" s="26"/>
      <c r="G124" s="82">
        <f t="shared" si="11"/>
        <v>-4136</v>
      </c>
      <c r="H124" s="146">
        <f t="shared" si="8"/>
        <v>-702</v>
      </c>
      <c r="I124" s="146">
        <f t="shared" si="12"/>
        <v>-3434</v>
      </c>
      <c r="J124" s="146"/>
      <c r="K124" s="25"/>
      <c r="L124" s="84">
        <f t="shared" si="7"/>
        <v>-702</v>
      </c>
      <c r="M124" s="84">
        <f t="shared" si="7"/>
        <v>-702</v>
      </c>
      <c r="N124" s="84">
        <f t="shared" si="7"/>
        <v>-702</v>
      </c>
      <c r="O124" s="84">
        <f t="shared" si="7"/>
        <v>-702</v>
      </c>
      <c r="P124" s="85">
        <f t="shared" si="9"/>
        <v>-626</v>
      </c>
      <c r="Q124" s="85">
        <f t="shared" si="10"/>
        <v>0</v>
      </c>
    </row>
    <row r="125" spans="1:17">
      <c r="A125" s="164">
        <v>10119</v>
      </c>
      <c r="B125" s="168" t="s">
        <v>118</v>
      </c>
      <c r="C125" s="57">
        <f>VLOOKUP(A125,'Contribution Allocation_Report'!$A$9:$D$311,4,FALSE)</f>
        <v>2.1954935670945807E-4</v>
      </c>
      <c r="E125" s="81">
        <f>VLOOKUP(A125,Contributions_21!$A$9:$D$310,4,FALSE)</f>
        <v>2.4000000000000001E-4</v>
      </c>
      <c r="F125" s="26"/>
      <c r="G125" s="82">
        <f t="shared" si="11"/>
        <v>-89822</v>
      </c>
      <c r="H125" s="146">
        <f t="shared" si="8"/>
        <v>-15250</v>
      </c>
      <c r="I125" s="146">
        <f t="shared" si="12"/>
        <v>-74572</v>
      </c>
      <c r="J125" s="146"/>
      <c r="K125" s="25"/>
      <c r="L125" s="84">
        <f t="shared" si="7"/>
        <v>-15250</v>
      </c>
      <c r="M125" s="84">
        <f t="shared" si="7"/>
        <v>-15250</v>
      </c>
      <c r="N125" s="84">
        <f t="shared" si="7"/>
        <v>-15250</v>
      </c>
      <c r="O125" s="84">
        <f t="shared" si="7"/>
        <v>-15250</v>
      </c>
      <c r="P125" s="85">
        <f t="shared" si="9"/>
        <v>-13572</v>
      </c>
      <c r="Q125" s="85">
        <f t="shared" si="10"/>
        <v>0</v>
      </c>
    </row>
    <row r="126" spans="1:17">
      <c r="A126" s="166">
        <v>573</v>
      </c>
      <c r="B126" s="167" t="s">
        <v>411</v>
      </c>
      <c r="C126" s="56">
        <f>VLOOKUP(A126,'Contribution Allocation_Report'!$A$9:$D$311,4,FALSE)</f>
        <v>5.6204950323648017E-4</v>
      </c>
      <c r="E126" s="81">
        <f>VLOOKUP(A126,Contributions_21!$A$9:$D$310,4,FALSE)</f>
        <v>3.8769999999999999E-4</v>
      </c>
      <c r="F126" s="26"/>
      <c r="G126" s="82">
        <f t="shared" si="11"/>
        <v>765764</v>
      </c>
      <c r="H126" s="146">
        <f t="shared" si="8"/>
        <v>130011</v>
      </c>
      <c r="I126" s="146">
        <f t="shared" si="12"/>
        <v>635753</v>
      </c>
      <c r="J126" s="146"/>
      <c r="K126" s="25"/>
      <c r="L126" s="84">
        <f t="shared" si="7"/>
        <v>130011</v>
      </c>
      <c r="M126" s="84">
        <f t="shared" si="7"/>
        <v>130011</v>
      </c>
      <c r="N126" s="84">
        <f t="shared" si="7"/>
        <v>130011</v>
      </c>
      <c r="O126" s="84">
        <f t="shared" si="7"/>
        <v>130011</v>
      </c>
      <c r="P126" s="85">
        <f t="shared" si="9"/>
        <v>115709</v>
      </c>
      <c r="Q126" s="85">
        <f t="shared" si="10"/>
        <v>0</v>
      </c>
    </row>
    <row r="127" spans="1:17">
      <c r="A127" s="164">
        <v>2368</v>
      </c>
      <c r="B127" s="168" t="s">
        <v>119</v>
      </c>
      <c r="C127" s="57">
        <f>VLOOKUP(A127,'Contribution Allocation_Report'!$A$9:$D$311,4,FALSE)</f>
        <v>4.209563350655318E-4</v>
      </c>
      <c r="E127" s="81">
        <f>VLOOKUP(A127,Contributions_21!$A$9:$D$310,4,FALSE)</f>
        <v>5.0089999999999998E-4</v>
      </c>
      <c r="F127" s="26"/>
      <c r="G127" s="82">
        <f t="shared" si="11"/>
        <v>-351122</v>
      </c>
      <c r="H127" s="146">
        <f t="shared" si="8"/>
        <v>-59613</v>
      </c>
      <c r="I127" s="146">
        <f t="shared" si="12"/>
        <v>-291509</v>
      </c>
      <c r="J127" s="146"/>
      <c r="K127" s="25"/>
      <c r="L127" s="84">
        <f t="shared" si="7"/>
        <v>-59613</v>
      </c>
      <c r="M127" s="84">
        <f t="shared" si="7"/>
        <v>-59613</v>
      </c>
      <c r="N127" s="84">
        <f t="shared" si="7"/>
        <v>-59613</v>
      </c>
      <c r="O127" s="84">
        <f t="shared" si="7"/>
        <v>-59613</v>
      </c>
      <c r="P127" s="85">
        <f t="shared" si="9"/>
        <v>-53057</v>
      </c>
      <c r="Q127" s="85">
        <f t="shared" si="10"/>
        <v>0</v>
      </c>
    </row>
    <row r="128" spans="1:17">
      <c r="A128" s="166">
        <v>7420</v>
      </c>
      <c r="B128" s="167" t="s">
        <v>120</v>
      </c>
      <c r="C128" s="56">
        <f>VLOOKUP(A128,'Contribution Allocation_Report'!$A$9:$D$311,4,FALSE)</f>
        <v>2.5643459365472731E-4</v>
      </c>
      <c r="E128" s="81">
        <f>VLOOKUP(A128,Contributions_21!$A$9:$D$310,4,FALSE)</f>
        <v>2.374E-4</v>
      </c>
      <c r="F128" s="26"/>
      <c r="G128" s="82">
        <f t="shared" si="11"/>
        <v>83602</v>
      </c>
      <c r="H128" s="146">
        <f t="shared" si="8"/>
        <v>14194</v>
      </c>
      <c r="I128" s="146">
        <f t="shared" si="12"/>
        <v>69408</v>
      </c>
      <c r="J128" s="146"/>
      <c r="K128" s="25"/>
      <c r="L128" s="84">
        <f t="shared" si="7"/>
        <v>14194</v>
      </c>
      <c r="M128" s="84">
        <f t="shared" si="7"/>
        <v>14194</v>
      </c>
      <c r="N128" s="84">
        <f t="shared" si="7"/>
        <v>14194</v>
      </c>
      <c r="O128" s="84">
        <f t="shared" si="7"/>
        <v>14194</v>
      </c>
      <c r="P128" s="85">
        <f t="shared" si="9"/>
        <v>12632</v>
      </c>
      <c r="Q128" s="85">
        <f t="shared" si="10"/>
        <v>0</v>
      </c>
    </row>
    <row r="129" spans="1:17">
      <c r="A129" s="164">
        <v>6018</v>
      </c>
      <c r="B129" s="168" t="s">
        <v>121</v>
      </c>
      <c r="C129" s="57">
        <f>VLOOKUP(A129,'Contribution Allocation_Report'!$A$9:$D$311,4,FALSE)</f>
        <v>7.1899141212850774E-4</v>
      </c>
      <c r="E129" s="81">
        <f>VLOOKUP(A129,Contributions_21!$A$9:$D$310,4,FALSE)</f>
        <v>7.2349999999999997E-4</v>
      </c>
      <c r="F129" s="26"/>
      <c r="G129" s="82">
        <f t="shared" si="11"/>
        <v>-19802</v>
      </c>
      <c r="H129" s="146">
        <f t="shared" si="8"/>
        <v>-3362</v>
      </c>
      <c r="I129" s="146">
        <f t="shared" si="12"/>
        <v>-16440</v>
      </c>
      <c r="J129" s="146"/>
      <c r="K129" s="25"/>
      <c r="L129" s="84">
        <f t="shared" si="7"/>
        <v>-3362</v>
      </c>
      <c r="M129" s="84">
        <f t="shared" si="7"/>
        <v>-3362</v>
      </c>
      <c r="N129" s="84">
        <f t="shared" si="7"/>
        <v>-3362</v>
      </c>
      <c r="O129" s="84">
        <f t="shared" si="7"/>
        <v>-3362</v>
      </c>
      <c r="P129" s="85">
        <f t="shared" si="9"/>
        <v>-2992</v>
      </c>
      <c r="Q129" s="85">
        <f t="shared" si="10"/>
        <v>0</v>
      </c>
    </row>
    <row r="130" spans="1:17">
      <c r="A130" s="166">
        <v>3321</v>
      </c>
      <c r="B130" s="167" t="s">
        <v>122</v>
      </c>
      <c r="C130" s="56">
        <f>VLOOKUP(A130,'Contribution Allocation_Report'!$A$9:$D$311,4,FALSE)</f>
        <v>3.6382211696295839E-4</v>
      </c>
      <c r="E130" s="81">
        <f>VLOOKUP(A130,Contributions_21!$A$9:$D$310,4,FALSE)</f>
        <v>3.0289999999999999E-4</v>
      </c>
      <c r="F130" s="26"/>
      <c r="G130" s="82">
        <f t="shared" si="11"/>
        <v>267577</v>
      </c>
      <c r="H130" s="146">
        <f t="shared" si="8"/>
        <v>45429</v>
      </c>
      <c r="I130" s="146">
        <f t="shared" si="12"/>
        <v>222148</v>
      </c>
      <c r="J130" s="146"/>
      <c r="K130" s="25"/>
      <c r="L130" s="84">
        <f t="shared" si="7"/>
        <v>45429</v>
      </c>
      <c r="M130" s="84">
        <f t="shared" si="7"/>
        <v>45429</v>
      </c>
      <c r="N130" s="84">
        <f t="shared" si="7"/>
        <v>45429</v>
      </c>
      <c r="O130" s="84">
        <f t="shared" si="7"/>
        <v>45429</v>
      </c>
      <c r="P130" s="85">
        <f t="shared" si="9"/>
        <v>40432</v>
      </c>
      <c r="Q130" s="85">
        <f t="shared" si="10"/>
        <v>0</v>
      </c>
    </row>
    <row r="131" spans="1:17">
      <c r="A131" s="164">
        <v>29122</v>
      </c>
      <c r="B131" s="168" t="s">
        <v>123</v>
      </c>
      <c r="C131" s="57">
        <f>VLOOKUP(A131,'Contribution Allocation_Report'!$A$9:$D$311,4,FALSE)</f>
        <v>3.9128670492060482E-4</v>
      </c>
      <c r="E131" s="81">
        <f>VLOOKUP(A131,Contributions_21!$A$9:$D$310,4,FALSE)</f>
        <v>4.0420000000000001E-4</v>
      </c>
      <c r="F131" s="26"/>
      <c r="G131" s="82">
        <f t="shared" si="11"/>
        <v>-56717</v>
      </c>
      <c r="H131" s="146">
        <f t="shared" si="8"/>
        <v>-9629</v>
      </c>
      <c r="I131" s="146">
        <f t="shared" si="12"/>
        <v>-47088</v>
      </c>
      <c r="J131" s="146"/>
      <c r="K131" s="25"/>
      <c r="L131" s="84">
        <f t="shared" si="7"/>
        <v>-9629</v>
      </c>
      <c r="M131" s="84">
        <f t="shared" si="7"/>
        <v>-9629</v>
      </c>
      <c r="N131" s="84">
        <f t="shared" si="7"/>
        <v>-9629</v>
      </c>
      <c r="O131" s="84">
        <f t="shared" si="7"/>
        <v>-9629</v>
      </c>
      <c r="P131" s="85">
        <f t="shared" si="9"/>
        <v>-8572</v>
      </c>
      <c r="Q131" s="85">
        <f t="shared" si="10"/>
        <v>0</v>
      </c>
    </row>
    <row r="132" spans="1:17">
      <c r="A132" s="166">
        <v>29088</v>
      </c>
      <c r="B132" s="167" t="s">
        <v>124</v>
      </c>
      <c r="C132" s="56">
        <f>VLOOKUP(A132,'Contribution Allocation_Report'!$A$9:$D$311,4,FALSE)</f>
        <v>5.4829752138098483E-4</v>
      </c>
      <c r="E132" s="81">
        <f>VLOOKUP(A132,Contributions_21!$A$9:$D$310,4,FALSE)</f>
        <v>5.3930000000000004E-4</v>
      </c>
      <c r="F132" s="26"/>
      <c r="G132" s="82">
        <f t="shared" si="11"/>
        <v>39518</v>
      </c>
      <c r="H132" s="146">
        <f t="shared" si="8"/>
        <v>6709</v>
      </c>
      <c r="I132" s="146">
        <f t="shared" si="12"/>
        <v>32809</v>
      </c>
      <c r="J132" s="146"/>
      <c r="K132" s="25"/>
      <c r="L132" s="84">
        <f t="shared" si="7"/>
        <v>6709</v>
      </c>
      <c r="M132" s="84">
        <f t="shared" si="7"/>
        <v>6709</v>
      </c>
      <c r="N132" s="84">
        <f t="shared" si="7"/>
        <v>6709</v>
      </c>
      <c r="O132" s="84">
        <f t="shared" si="7"/>
        <v>6709</v>
      </c>
      <c r="P132" s="85">
        <f t="shared" si="9"/>
        <v>5973</v>
      </c>
      <c r="Q132" s="85">
        <f t="shared" si="10"/>
        <v>0</v>
      </c>
    </row>
    <row r="133" spans="1:17">
      <c r="A133" s="164">
        <v>7337</v>
      </c>
      <c r="B133" s="168" t="s">
        <v>125</v>
      </c>
      <c r="C133" s="57">
        <f>VLOOKUP(A133,'Contribution Allocation_Report'!$A$9:$D$311,4,FALSE)</f>
        <v>1.4971645815334923E-4</v>
      </c>
      <c r="E133" s="81">
        <f>VLOOKUP(A133,Contributions_21!$A$9:$D$310,4,FALSE)</f>
        <v>1.3899999999999999E-4</v>
      </c>
      <c r="F133" s="26"/>
      <c r="G133" s="82">
        <f t="shared" si="11"/>
        <v>47068</v>
      </c>
      <c r="H133" s="146">
        <f t="shared" si="8"/>
        <v>7991</v>
      </c>
      <c r="I133" s="146">
        <f t="shared" si="12"/>
        <v>39077</v>
      </c>
      <c r="J133" s="146"/>
      <c r="K133" s="25"/>
      <c r="L133" s="84">
        <f t="shared" si="7"/>
        <v>7991</v>
      </c>
      <c r="M133" s="84">
        <f t="shared" si="7"/>
        <v>7991</v>
      </c>
      <c r="N133" s="84">
        <f t="shared" si="7"/>
        <v>7991</v>
      </c>
      <c r="O133" s="84">
        <f t="shared" si="7"/>
        <v>7991</v>
      </c>
      <c r="P133" s="85">
        <f t="shared" si="9"/>
        <v>7113</v>
      </c>
      <c r="Q133" s="85">
        <f t="shared" si="10"/>
        <v>0</v>
      </c>
    </row>
    <row r="134" spans="1:17">
      <c r="A134" s="166">
        <v>2329</v>
      </c>
      <c r="B134" s="167" t="s">
        <v>126</v>
      </c>
      <c r="C134" s="56">
        <f>VLOOKUP(A134,'Contribution Allocation_Report'!$A$9:$D$311,4,FALSE)</f>
        <v>4.669570589100055E-4</v>
      </c>
      <c r="E134" s="81">
        <f>VLOOKUP(A134,Contributions_21!$A$9:$D$310,4,FALSE)</f>
        <v>4.4190000000000001E-4</v>
      </c>
      <c r="F134" s="26"/>
      <c r="G134" s="82">
        <f t="shared" si="11"/>
        <v>110054</v>
      </c>
      <c r="H134" s="146">
        <f t="shared" si="8"/>
        <v>18685</v>
      </c>
      <c r="I134" s="146">
        <f t="shared" si="12"/>
        <v>91369</v>
      </c>
      <c r="J134" s="146"/>
      <c r="K134" s="25"/>
      <c r="L134" s="84">
        <f t="shared" ref="L134:O197" si="13">ROUND($I134/4.89,0)</f>
        <v>18685</v>
      </c>
      <c r="M134" s="84">
        <f t="shared" si="13"/>
        <v>18685</v>
      </c>
      <c r="N134" s="84">
        <f t="shared" si="13"/>
        <v>18685</v>
      </c>
      <c r="O134" s="84">
        <f t="shared" si="13"/>
        <v>18685</v>
      </c>
      <c r="P134" s="85">
        <f t="shared" si="9"/>
        <v>16629</v>
      </c>
      <c r="Q134" s="85">
        <f t="shared" si="10"/>
        <v>0</v>
      </c>
    </row>
    <row r="135" spans="1:17">
      <c r="A135" s="164">
        <v>17425</v>
      </c>
      <c r="B135" s="168" t="s">
        <v>128</v>
      </c>
      <c r="C135" s="57">
        <f>VLOOKUP(A135,'Contribution Allocation_Report'!$A$9:$D$311,4,FALSE)</f>
        <v>8.9304208584863178E-5</v>
      </c>
      <c r="E135" s="81">
        <f>VLOOKUP(A135,Contributions_21!$A$9:$D$310,4,FALSE)</f>
        <v>5.7099999999999999E-5</v>
      </c>
      <c r="F135" s="26"/>
      <c r="G135" s="82">
        <f t="shared" si="11"/>
        <v>141445</v>
      </c>
      <c r="H135" s="146">
        <f t="shared" ref="H135:H198" si="14">ROUND(G135/5.89,0)</f>
        <v>24014</v>
      </c>
      <c r="I135" s="146">
        <f t="shared" si="12"/>
        <v>117431</v>
      </c>
      <c r="J135" s="146"/>
      <c r="K135" s="25"/>
      <c r="L135" s="84">
        <f t="shared" si="13"/>
        <v>24015</v>
      </c>
      <c r="M135" s="84">
        <f t="shared" si="13"/>
        <v>24015</v>
      </c>
      <c r="N135" s="84">
        <f t="shared" si="13"/>
        <v>24015</v>
      </c>
      <c r="O135" s="84">
        <f t="shared" si="13"/>
        <v>24015</v>
      </c>
      <c r="P135" s="85">
        <f t="shared" ref="P135:P197" si="15">I135-SUM(L135:O135)</f>
        <v>21371</v>
      </c>
      <c r="Q135" s="85">
        <f t="shared" ref="Q135:Q196" si="16">+I135-SUM(L135:P135)</f>
        <v>0</v>
      </c>
    </row>
    <row r="136" spans="1:17">
      <c r="A136" s="166">
        <v>4010</v>
      </c>
      <c r="B136" s="167" t="s">
        <v>129</v>
      </c>
      <c r="C136" s="56">
        <f>VLOOKUP(A136,'Contribution Allocation_Report'!$A$9:$D$311,4,FALSE)</f>
        <v>2.764768521069739E-4</v>
      </c>
      <c r="E136" s="81">
        <f>VLOOKUP(A136,Contributions_21!$A$9:$D$310,4,FALSE)</f>
        <v>2.5070000000000002E-4</v>
      </c>
      <c r="F136" s="26"/>
      <c r="G136" s="82">
        <f t="shared" ref="G136:G199" si="17">ROUND((E136-C136)*$G$326,0)</f>
        <v>113215</v>
      </c>
      <c r="H136" s="146">
        <f t="shared" si="14"/>
        <v>19222</v>
      </c>
      <c r="I136" s="146">
        <f t="shared" ref="I136:I199" si="18">G136-H136</f>
        <v>93993</v>
      </c>
      <c r="J136" s="146"/>
      <c r="K136" s="25"/>
      <c r="L136" s="84">
        <f t="shared" si="13"/>
        <v>19221</v>
      </c>
      <c r="M136" s="84">
        <f t="shared" si="13"/>
        <v>19221</v>
      </c>
      <c r="N136" s="84">
        <f t="shared" si="13"/>
        <v>19221</v>
      </c>
      <c r="O136" s="84">
        <f t="shared" si="13"/>
        <v>19221</v>
      </c>
      <c r="P136" s="85">
        <f t="shared" si="15"/>
        <v>17109</v>
      </c>
      <c r="Q136" s="85">
        <f t="shared" si="16"/>
        <v>0</v>
      </c>
    </row>
    <row r="137" spans="1:17">
      <c r="A137" s="164">
        <v>7023</v>
      </c>
      <c r="B137" s="168" t="s">
        <v>439</v>
      </c>
      <c r="C137" s="57">
        <f>VLOOKUP(A137,'Contribution Allocation_Report'!$A$9:$D$311,4,FALSE)</f>
        <v>3.2524549453278491E-2</v>
      </c>
      <c r="E137" s="81">
        <f>VLOOKUP(A137,Contributions_21!$A$9:$D$310,4,FALSE)</f>
        <v>3.1656299999999998E-2</v>
      </c>
      <c r="F137" s="26"/>
      <c r="G137" s="82">
        <f t="shared" si="17"/>
        <v>3813454</v>
      </c>
      <c r="H137" s="146">
        <f t="shared" si="14"/>
        <v>647446</v>
      </c>
      <c r="I137" s="146">
        <f t="shared" si="18"/>
        <v>3166008</v>
      </c>
      <c r="J137" s="146"/>
      <c r="K137" s="25"/>
      <c r="L137" s="84">
        <f t="shared" si="13"/>
        <v>647445</v>
      </c>
      <c r="M137" s="84">
        <f t="shared" si="13"/>
        <v>647445</v>
      </c>
      <c r="N137" s="84">
        <f t="shared" si="13"/>
        <v>647445</v>
      </c>
      <c r="O137" s="84">
        <f t="shared" si="13"/>
        <v>647445</v>
      </c>
      <c r="P137" s="85">
        <f t="shared" si="15"/>
        <v>576228</v>
      </c>
      <c r="Q137" s="85">
        <f t="shared" si="16"/>
        <v>0</v>
      </c>
    </row>
    <row r="138" spans="1:17">
      <c r="A138" s="166">
        <v>7338</v>
      </c>
      <c r="B138" s="167" t="s">
        <v>131</v>
      </c>
      <c r="C138" s="56">
        <f>VLOOKUP(A138,'Contribution Allocation_Report'!$A$9:$D$311,4,FALSE)</f>
        <v>2.8640938588807258E-4</v>
      </c>
      <c r="E138" s="81">
        <f>VLOOKUP(A138,Contributions_21!$A$9:$D$310,4,FALSE)</f>
        <v>2.9E-4</v>
      </c>
      <c r="F138" s="26"/>
      <c r="G138" s="82">
        <f t="shared" si="17"/>
        <v>-15770</v>
      </c>
      <c r="H138" s="146">
        <f t="shared" si="14"/>
        <v>-2677</v>
      </c>
      <c r="I138" s="146">
        <f t="shared" si="18"/>
        <v>-13093</v>
      </c>
      <c r="J138" s="146"/>
      <c r="K138" s="25"/>
      <c r="L138" s="84">
        <f t="shared" si="13"/>
        <v>-2678</v>
      </c>
      <c r="M138" s="84">
        <f t="shared" si="13"/>
        <v>-2678</v>
      </c>
      <c r="N138" s="84">
        <f t="shared" si="13"/>
        <v>-2678</v>
      </c>
      <c r="O138" s="84">
        <f t="shared" si="13"/>
        <v>-2678</v>
      </c>
      <c r="P138" s="85">
        <f t="shared" si="15"/>
        <v>-2381</v>
      </c>
      <c r="Q138" s="85">
        <f t="shared" si="16"/>
        <v>0</v>
      </c>
    </row>
    <row r="139" spans="1:17">
      <c r="A139" s="164">
        <v>12037</v>
      </c>
      <c r="B139" s="168" t="s">
        <v>132</v>
      </c>
      <c r="C139" s="57">
        <f>VLOOKUP(A139,'Contribution Allocation_Report'!$A$9:$D$311,4,FALSE)</f>
        <v>1.9661199599257206E-3</v>
      </c>
      <c r="E139" s="81">
        <f>VLOOKUP(A139,Contributions_21!$A$9:$D$310,4,FALSE)</f>
        <v>2.0197000000000001E-3</v>
      </c>
      <c r="F139" s="26"/>
      <c r="G139" s="82">
        <f t="shared" si="17"/>
        <v>-235330</v>
      </c>
      <c r="H139" s="146">
        <f t="shared" si="14"/>
        <v>-39954</v>
      </c>
      <c r="I139" s="146">
        <f t="shared" si="18"/>
        <v>-195376</v>
      </c>
      <c r="J139" s="146"/>
      <c r="K139" s="25"/>
      <c r="L139" s="84">
        <f t="shared" si="13"/>
        <v>-39954</v>
      </c>
      <c r="M139" s="84">
        <f t="shared" si="13"/>
        <v>-39954</v>
      </c>
      <c r="N139" s="84">
        <f t="shared" si="13"/>
        <v>-39954</v>
      </c>
      <c r="O139" s="84">
        <f t="shared" si="13"/>
        <v>-39954</v>
      </c>
      <c r="P139" s="85">
        <f t="shared" si="15"/>
        <v>-35560</v>
      </c>
      <c r="Q139" s="85">
        <f t="shared" si="16"/>
        <v>0</v>
      </c>
    </row>
    <row r="140" spans="1:17">
      <c r="A140" s="166">
        <v>3150</v>
      </c>
      <c r="B140" s="167" t="s">
        <v>133</v>
      </c>
      <c r="C140" s="56">
        <f>VLOOKUP(A140,'Contribution Allocation_Report'!$A$9:$D$311,4,FALSE)</f>
        <v>4.2133335790380342E-3</v>
      </c>
      <c r="E140" s="81">
        <f>VLOOKUP(A140,Contributions_21!$A$9:$D$310,4,FALSE)</f>
        <v>3.7320000000000001E-3</v>
      </c>
      <c r="F140" s="26"/>
      <c r="G140" s="82">
        <f t="shared" si="17"/>
        <v>2114074</v>
      </c>
      <c r="H140" s="146">
        <f t="shared" si="14"/>
        <v>358926</v>
      </c>
      <c r="I140" s="146">
        <f t="shared" si="18"/>
        <v>1755148</v>
      </c>
      <c r="J140" s="146"/>
      <c r="K140" s="25"/>
      <c r="L140" s="84">
        <f t="shared" si="13"/>
        <v>358926</v>
      </c>
      <c r="M140" s="84">
        <f t="shared" si="13"/>
        <v>358926</v>
      </c>
      <c r="N140" s="84">
        <f t="shared" si="13"/>
        <v>358926</v>
      </c>
      <c r="O140" s="84">
        <f t="shared" si="13"/>
        <v>358926</v>
      </c>
      <c r="P140" s="85">
        <f t="shared" si="15"/>
        <v>319444</v>
      </c>
      <c r="Q140" s="85">
        <f t="shared" si="16"/>
        <v>0</v>
      </c>
    </row>
    <row r="141" spans="1:17">
      <c r="A141" s="164">
        <v>3160</v>
      </c>
      <c r="B141" s="168" t="s">
        <v>134</v>
      </c>
      <c r="C141" s="57">
        <f>VLOOKUP(A141,'Contribution Allocation_Report'!$A$9:$D$311,4,FALSE)</f>
        <v>9.8590980011115385E-4</v>
      </c>
      <c r="E141" s="81">
        <f>VLOOKUP(A141,Contributions_21!$A$9:$D$310,4,FALSE)</f>
        <v>9.4640000000000002E-4</v>
      </c>
      <c r="F141" s="26"/>
      <c r="G141" s="82">
        <f t="shared" si="17"/>
        <v>173532</v>
      </c>
      <c r="H141" s="146">
        <f t="shared" si="14"/>
        <v>29462</v>
      </c>
      <c r="I141" s="146">
        <f t="shared" si="18"/>
        <v>144070</v>
      </c>
      <c r="J141" s="146"/>
      <c r="K141" s="25"/>
      <c r="L141" s="84">
        <f t="shared" si="13"/>
        <v>29462</v>
      </c>
      <c r="M141" s="84">
        <f t="shared" si="13"/>
        <v>29462</v>
      </c>
      <c r="N141" s="84">
        <f t="shared" si="13"/>
        <v>29462</v>
      </c>
      <c r="O141" s="84">
        <f t="shared" si="13"/>
        <v>29462</v>
      </c>
      <c r="P141" s="85">
        <f t="shared" si="15"/>
        <v>26222</v>
      </c>
      <c r="Q141" s="85">
        <f t="shared" si="16"/>
        <v>0</v>
      </c>
    </row>
    <row r="142" spans="1:17">
      <c r="A142" s="166">
        <v>10120</v>
      </c>
      <c r="B142" s="167" t="s">
        <v>136</v>
      </c>
      <c r="C142" s="56">
        <f>VLOOKUP(A142,'Contribution Allocation_Report'!$A$9:$D$311,4,FALSE)</f>
        <v>4.8714697643729326E-4</v>
      </c>
      <c r="E142" s="81">
        <f>VLOOKUP(A142,Contributions_21!$A$9:$D$310,4,FALSE)</f>
        <v>4.6789999999999999E-4</v>
      </c>
      <c r="F142" s="26"/>
      <c r="G142" s="82">
        <f t="shared" si="17"/>
        <v>84535</v>
      </c>
      <c r="H142" s="146">
        <f t="shared" si="14"/>
        <v>14352</v>
      </c>
      <c r="I142" s="146">
        <f t="shared" si="18"/>
        <v>70183</v>
      </c>
      <c r="J142" s="146"/>
      <c r="K142" s="25"/>
      <c r="L142" s="84">
        <f t="shared" si="13"/>
        <v>14352</v>
      </c>
      <c r="M142" s="84">
        <f t="shared" si="13"/>
        <v>14352</v>
      </c>
      <c r="N142" s="84">
        <f t="shared" si="13"/>
        <v>14352</v>
      </c>
      <c r="O142" s="84">
        <f t="shared" si="13"/>
        <v>14352</v>
      </c>
      <c r="P142" s="85">
        <f t="shared" si="15"/>
        <v>12775</v>
      </c>
      <c r="Q142" s="85">
        <f t="shared" si="16"/>
        <v>0</v>
      </c>
    </row>
    <row r="143" spans="1:17">
      <c r="A143" s="164">
        <v>23070</v>
      </c>
      <c r="B143" s="168" t="s">
        <v>137</v>
      </c>
      <c r="C143" s="57">
        <f>VLOOKUP(A143,'Contribution Allocation_Report'!$A$9:$D$311,4,FALSE)</f>
        <v>7.8620582308722088E-4</v>
      </c>
      <c r="E143" s="81">
        <f>VLOOKUP(A143,Contributions_21!$A$9:$D$310,4,FALSE)</f>
        <v>7.8470000000000005E-4</v>
      </c>
      <c r="F143" s="26"/>
      <c r="G143" s="82">
        <f t="shared" si="17"/>
        <v>6614</v>
      </c>
      <c r="H143" s="146">
        <f t="shared" si="14"/>
        <v>1123</v>
      </c>
      <c r="I143" s="146">
        <f t="shared" si="18"/>
        <v>5491</v>
      </c>
      <c r="J143" s="146"/>
      <c r="K143" s="25"/>
      <c r="L143" s="84">
        <f t="shared" si="13"/>
        <v>1123</v>
      </c>
      <c r="M143" s="84">
        <f t="shared" si="13"/>
        <v>1123</v>
      </c>
      <c r="N143" s="84">
        <f t="shared" si="13"/>
        <v>1123</v>
      </c>
      <c r="O143" s="84">
        <f t="shared" si="13"/>
        <v>1123</v>
      </c>
      <c r="P143" s="85">
        <f t="shared" si="15"/>
        <v>999</v>
      </c>
      <c r="Q143" s="85">
        <f t="shared" si="16"/>
        <v>0</v>
      </c>
    </row>
    <row r="144" spans="1:17">
      <c r="A144" s="166">
        <v>3170</v>
      </c>
      <c r="B144" s="167" t="s">
        <v>138</v>
      </c>
      <c r="C144" s="56">
        <f>VLOOKUP(A144,'Contribution Allocation_Report'!$A$9:$D$311,4,FALSE)</f>
        <v>9.1802304816408671E-3</v>
      </c>
      <c r="E144" s="81">
        <f>VLOOKUP(A144,Contributions_21!$A$9:$D$310,4,FALSE)</f>
        <v>9.4456000000000002E-3</v>
      </c>
      <c r="F144" s="26"/>
      <c r="G144" s="82">
        <f t="shared" si="17"/>
        <v>-1165534</v>
      </c>
      <c r="H144" s="146">
        <f t="shared" si="14"/>
        <v>-197884</v>
      </c>
      <c r="I144" s="146">
        <f t="shared" si="18"/>
        <v>-967650</v>
      </c>
      <c r="J144" s="146"/>
      <c r="K144" s="25"/>
      <c r="L144" s="84">
        <f t="shared" si="13"/>
        <v>-197883</v>
      </c>
      <c r="M144" s="84">
        <f t="shared" si="13"/>
        <v>-197883</v>
      </c>
      <c r="N144" s="84">
        <f t="shared" si="13"/>
        <v>-197883</v>
      </c>
      <c r="O144" s="84">
        <f t="shared" si="13"/>
        <v>-197883</v>
      </c>
      <c r="P144" s="85">
        <f t="shared" si="15"/>
        <v>-176118</v>
      </c>
      <c r="Q144" s="85">
        <f t="shared" si="16"/>
        <v>0</v>
      </c>
    </row>
    <row r="145" spans="1:17">
      <c r="A145" s="164">
        <v>32093</v>
      </c>
      <c r="B145" s="168" t="s">
        <v>139</v>
      </c>
      <c r="C145" s="57">
        <f>VLOOKUP(A145,'Contribution Allocation_Report'!$A$9:$D$311,4,FALSE)</f>
        <v>6.0080804164710433E-3</v>
      </c>
      <c r="E145" s="81">
        <f>VLOOKUP(A145,Contributions_21!$A$9:$D$310,4,FALSE)</f>
        <v>6.0689000000000003E-3</v>
      </c>
      <c r="F145" s="26"/>
      <c r="G145" s="82">
        <f t="shared" si="17"/>
        <v>-267127</v>
      </c>
      <c r="H145" s="146">
        <f t="shared" si="14"/>
        <v>-45353</v>
      </c>
      <c r="I145" s="146">
        <f t="shared" si="18"/>
        <v>-221774</v>
      </c>
      <c r="J145" s="146"/>
      <c r="K145" s="25"/>
      <c r="L145" s="84">
        <f t="shared" si="13"/>
        <v>-45353</v>
      </c>
      <c r="M145" s="84">
        <f t="shared" si="13"/>
        <v>-45353</v>
      </c>
      <c r="N145" s="84">
        <f t="shared" si="13"/>
        <v>-45353</v>
      </c>
      <c r="O145" s="84">
        <f t="shared" si="13"/>
        <v>-45353</v>
      </c>
      <c r="P145" s="85">
        <f t="shared" si="15"/>
        <v>-40362</v>
      </c>
      <c r="Q145" s="85">
        <f t="shared" si="16"/>
        <v>0</v>
      </c>
    </row>
    <row r="146" spans="1:17">
      <c r="A146" s="166">
        <v>14045</v>
      </c>
      <c r="B146" s="167" t="s">
        <v>140</v>
      </c>
      <c r="C146" s="56">
        <f>VLOOKUP(A146,'Contribution Allocation_Report'!$A$9:$D$311,4,FALSE)</f>
        <v>1.0445432500223112E-2</v>
      </c>
      <c r="E146" s="81">
        <f>VLOOKUP(A146,Contributions_21!$A$9:$D$310,4,FALSE)</f>
        <v>1.04799E-2</v>
      </c>
      <c r="F146" s="26"/>
      <c r="G146" s="82">
        <f t="shared" si="17"/>
        <v>-151385</v>
      </c>
      <c r="H146" s="146">
        <f t="shared" si="14"/>
        <v>-25702</v>
      </c>
      <c r="I146" s="146">
        <f t="shared" si="18"/>
        <v>-125683</v>
      </c>
      <c r="J146" s="146"/>
      <c r="K146" s="25"/>
      <c r="L146" s="84">
        <f t="shared" si="13"/>
        <v>-25702</v>
      </c>
      <c r="M146" s="84">
        <f t="shared" si="13"/>
        <v>-25702</v>
      </c>
      <c r="N146" s="84">
        <f t="shared" si="13"/>
        <v>-25702</v>
      </c>
      <c r="O146" s="84">
        <f t="shared" si="13"/>
        <v>-25702</v>
      </c>
      <c r="P146" s="85">
        <f t="shared" si="15"/>
        <v>-22875</v>
      </c>
      <c r="Q146" s="85">
        <f t="shared" si="16"/>
        <v>0</v>
      </c>
    </row>
    <row r="147" spans="1:17">
      <c r="A147" s="164">
        <v>2322</v>
      </c>
      <c r="B147" s="168" t="s">
        <v>141</v>
      </c>
      <c r="C147" s="57">
        <f>VLOOKUP(A147,'Contribution Allocation_Report'!$A$9:$D$311,4,FALSE)</f>
        <v>2.7943003360779612E-4</v>
      </c>
      <c r="E147" s="81">
        <f>VLOOKUP(A147,Contributions_21!$A$9:$D$310,4,FALSE)</f>
        <v>2.4030000000000001E-4</v>
      </c>
      <c r="F147" s="26"/>
      <c r="G147" s="82">
        <f t="shared" si="17"/>
        <v>171864</v>
      </c>
      <c r="H147" s="146">
        <f t="shared" si="14"/>
        <v>29179</v>
      </c>
      <c r="I147" s="146">
        <f t="shared" si="18"/>
        <v>142685</v>
      </c>
      <c r="J147" s="146"/>
      <c r="K147" s="25"/>
      <c r="L147" s="84">
        <f t="shared" si="13"/>
        <v>29179</v>
      </c>
      <c r="M147" s="84">
        <f t="shared" si="13"/>
        <v>29179</v>
      </c>
      <c r="N147" s="84">
        <f t="shared" si="13"/>
        <v>29179</v>
      </c>
      <c r="O147" s="84">
        <f t="shared" si="13"/>
        <v>29179</v>
      </c>
      <c r="P147" s="85">
        <f t="shared" si="15"/>
        <v>25969</v>
      </c>
      <c r="Q147" s="85">
        <f t="shared" si="16"/>
        <v>0</v>
      </c>
    </row>
    <row r="148" spans="1:17">
      <c r="A148" s="166">
        <v>3006</v>
      </c>
      <c r="B148" s="167" t="s">
        <v>142</v>
      </c>
      <c r="C148" s="56">
        <f>VLOOKUP(A148,'Contribution Allocation_Report'!$A$9:$D$311,4,FALSE)</f>
        <v>8.4890186634967613E-4</v>
      </c>
      <c r="E148" s="81">
        <f>VLOOKUP(A148,Contributions_21!$A$9:$D$310,4,FALSE)</f>
        <v>9.0249999999999998E-4</v>
      </c>
      <c r="F148" s="26"/>
      <c r="G148" s="82">
        <f t="shared" si="17"/>
        <v>-235409</v>
      </c>
      <c r="H148" s="146">
        <f t="shared" si="14"/>
        <v>-39968</v>
      </c>
      <c r="I148" s="146">
        <f t="shared" si="18"/>
        <v>-195441</v>
      </c>
      <c r="J148" s="146"/>
      <c r="K148" s="25"/>
      <c r="L148" s="84">
        <f t="shared" si="13"/>
        <v>-39967</v>
      </c>
      <c r="M148" s="84">
        <f t="shared" si="13"/>
        <v>-39967</v>
      </c>
      <c r="N148" s="84">
        <f t="shared" si="13"/>
        <v>-39967</v>
      </c>
      <c r="O148" s="84">
        <f t="shared" si="13"/>
        <v>-39967</v>
      </c>
      <c r="P148" s="85">
        <f t="shared" si="15"/>
        <v>-35573</v>
      </c>
      <c r="Q148" s="85">
        <f t="shared" si="16"/>
        <v>0</v>
      </c>
    </row>
    <row r="149" spans="1:17">
      <c r="A149" s="164">
        <v>6019</v>
      </c>
      <c r="B149" s="165" t="s">
        <v>143</v>
      </c>
      <c r="C149" s="66">
        <f>VLOOKUP(A149,'Contribution Allocation_Report'!$A$9:$D$311,4,FALSE)</f>
        <v>4.3899239888488652E-3</v>
      </c>
      <c r="E149" s="81">
        <f>VLOOKUP(A149,Contributions_21!$A$9:$D$310,4,FALSE)</f>
        <v>4.6480999999999996E-3</v>
      </c>
      <c r="F149" s="26"/>
      <c r="G149" s="82">
        <f t="shared" si="17"/>
        <v>-1133939</v>
      </c>
      <c r="H149" s="146">
        <f t="shared" si="14"/>
        <v>-192519</v>
      </c>
      <c r="I149" s="146">
        <f t="shared" si="18"/>
        <v>-941420</v>
      </c>
      <c r="J149" s="146"/>
      <c r="K149" s="25"/>
      <c r="L149" s="84">
        <f t="shared" si="13"/>
        <v>-192519</v>
      </c>
      <c r="M149" s="84">
        <f t="shared" si="13"/>
        <v>-192519</v>
      </c>
      <c r="N149" s="84">
        <f t="shared" si="13"/>
        <v>-192519</v>
      </c>
      <c r="O149" s="84">
        <f t="shared" si="13"/>
        <v>-192519</v>
      </c>
      <c r="P149" s="85">
        <f t="shared" si="15"/>
        <v>-171344</v>
      </c>
      <c r="Q149" s="85">
        <f t="shared" si="16"/>
        <v>0</v>
      </c>
    </row>
    <row r="150" spans="1:17">
      <c r="A150" s="166">
        <v>12128</v>
      </c>
      <c r="B150" s="167" t="s">
        <v>144</v>
      </c>
      <c r="C150" s="56">
        <f>VLOOKUP(A150,'Contribution Allocation_Report'!$A$9:$D$311,4,FALSE)</f>
        <v>1.0097911945144693E-3</v>
      </c>
      <c r="E150" s="81">
        <f>VLOOKUP(A150,Contributions_21!$A$9:$D$310,4,FALSE)</f>
        <v>1.1761E-3</v>
      </c>
      <c r="F150" s="26"/>
      <c r="G150" s="82">
        <f t="shared" si="17"/>
        <v>-730448</v>
      </c>
      <c r="H150" s="146">
        <f t="shared" si="14"/>
        <v>-124015</v>
      </c>
      <c r="I150" s="146">
        <f t="shared" si="18"/>
        <v>-606433</v>
      </c>
      <c r="J150" s="146"/>
      <c r="K150" s="25"/>
      <c r="L150" s="84">
        <f t="shared" si="13"/>
        <v>-124015</v>
      </c>
      <c r="M150" s="84">
        <f t="shared" si="13"/>
        <v>-124015</v>
      </c>
      <c r="N150" s="84">
        <f t="shared" si="13"/>
        <v>-124015</v>
      </c>
      <c r="O150" s="84">
        <f t="shared" si="13"/>
        <v>-124015</v>
      </c>
      <c r="P150" s="85">
        <f t="shared" si="15"/>
        <v>-110373</v>
      </c>
      <c r="Q150" s="85">
        <f t="shared" si="16"/>
        <v>0</v>
      </c>
    </row>
    <row r="151" spans="1:17">
      <c r="A151" s="164">
        <v>3180</v>
      </c>
      <c r="B151" s="168" t="s">
        <v>145</v>
      </c>
      <c r="C151" s="57">
        <f>VLOOKUP(A151,'Contribution Allocation_Report'!$A$9:$D$311,4,FALSE)</f>
        <v>1.8526095069724517E-3</v>
      </c>
      <c r="E151" s="81">
        <f>VLOOKUP(A151,Contributions_21!$A$9:$D$310,4,FALSE)</f>
        <v>1.7776999999999999E-3</v>
      </c>
      <c r="F151" s="26"/>
      <c r="G151" s="82">
        <f t="shared" si="17"/>
        <v>329011</v>
      </c>
      <c r="H151" s="146">
        <f t="shared" si="14"/>
        <v>55859</v>
      </c>
      <c r="I151" s="146">
        <f t="shared" si="18"/>
        <v>273152</v>
      </c>
      <c r="J151" s="146"/>
      <c r="K151" s="25"/>
      <c r="L151" s="84">
        <f t="shared" si="13"/>
        <v>55859</v>
      </c>
      <c r="M151" s="84">
        <f t="shared" si="13"/>
        <v>55859</v>
      </c>
      <c r="N151" s="84">
        <f t="shared" si="13"/>
        <v>55859</v>
      </c>
      <c r="O151" s="84">
        <f t="shared" si="13"/>
        <v>55859</v>
      </c>
      <c r="P151" s="85">
        <f t="shared" si="15"/>
        <v>49716</v>
      </c>
      <c r="Q151" s="85">
        <f t="shared" si="16"/>
        <v>0</v>
      </c>
    </row>
    <row r="152" spans="1:17">
      <c r="A152" s="166">
        <v>25075</v>
      </c>
      <c r="B152" s="167" t="s">
        <v>146</v>
      </c>
      <c r="C152" s="56">
        <f>VLOOKUP(A152,'Contribution Allocation_Report'!$A$9:$D$311,4,FALSE)</f>
        <v>7.9939670045756008E-4</v>
      </c>
      <c r="E152" s="81">
        <f>VLOOKUP(A152,Contributions_21!$A$9:$D$310,4,FALSE)</f>
        <v>7.2440000000000004E-4</v>
      </c>
      <c r="F152" s="26"/>
      <c r="G152" s="82">
        <f t="shared" si="17"/>
        <v>329394</v>
      </c>
      <c r="H152" s="146">
        <f t="shared" si="14"/>
        <v>55924</v>
      </c>
      <c r="I152" s="146">
        <f t="shared" si="18"/>
        <v>273470</v>
      </c>
      <c r="J152" s="146"/>
      <c r="K152" s="25"/>
      <c r="L152" s="84">
        <f t="shared" si="13"/>
        <v>55924</v>
      </c>
      <c r="M152" s="84">
        <f t="shared" si="13"/>
        <v>55924</v>
      </c>
      <c r="N152" s="84">
        <f t="shared" si="13"/>
        <v>55924</v>
      </c>
      <c r="O152" s="84">
        <f t="shared" si="13"/>
        <v>55924</v>
      </c>
      <c r="P152" s="85">
        <f t="shared" si="15"/>
        <v>49774</v>
      </c>
      <c r="Q152" s="85">
        <f t="shared" si="16"/>
        <v>0</v>
      </c>
    </row>
    <row r="153" spans="1:17">
      <c r="A153" s="164">
        <v>2311</v>
      </c>
      <c r="B153" s="168" t="s">
        <v>440</v>
      </c>
      <c r="C153" s="57">
        <f>VLOOKUP(A153,'Contribution Allocation_Report'!$A$9:$D$311,4,FALSE)</f>
        <v>3.0178561756902012E-4</v>
      </c>
      <c r="E153" s="81">
        <f>VLOOKUP(A153,Contributions_21!$A$9:$D$310,4,FALSE)</f>
        <v>2.6879999999999997E-4</v>
      </c>
      <c r="F153" s="26"/>
      <c r="G153" s="82">
        <f t="shared" si="17"/>
        <v>144877</v>
      </c>
      <c r="H153" s="146">
        <f t="shared" si="14"/>
        <v>24597</v>
      </c>
      <c r="I153" s="146">
        <f t="shared" si="18"/>
        <v>120280</v>
      </c>
      <c r="J153" s="146"/>
      <c r="K153" s="25"/>
      <c r="L153" s="84">
        <f t="shared" si="13"/>
        <v>24597</v>
      </c>
      <c r="M153" s="84">
        <f t="shared" si="13"/>
        <v>24597</v>
      </c>
      <c r="N153" s="84">
        <f t="shared" si="13"/>
        <v>24597</v>
      </c>
      <c r="O153" s="84">
        <f t="shared" si="13"/>
        <v>24597</v>
      </c>
      <c r="P153" s="85">
        <f t="shared" si="15"/>
        <v>21892</v>
      </c>
      <c r="Q153" s="85">
        <f t="shared" si="16"/>
        <v>0</v>
      </c>
    </row>
    <row r="154" spans="1:17">
      <c r="A154" s="166">
        <v>9028</v>
      </c>
      <c r="B154" s="167" t="s">
        <v>147</v>
      </c>
      <c r="C154" s="56">
        <f>VLOOKUP(A154,'Contribution Allocation_Report'!$A$9:$D$311,4,FALSE)</f>
        <v>2.7530542344498111E-4</v>
      </c>
      <c r="E154" s="81">
        <f>VLOOKUP(A154,Contributions_21!$A$9:$D$310,4,FALSE)</f>
        <v>2.8650000000000003E-4</v>
      </c>
      <c r="F154" s="26"/>
      <c r="G154" s="82">
        <f t="shared" si="17"/>
        <v>-49168</v>
      </c>
      <c r="H154" s="146">
        <f t="shared" si="14"/>
        <v>-8348</v>
      </c>
      <c r="I154" s="146">
        <f t="shared" si="18"/>
        <v>-40820</v>
      </c>
      <c r="J154" s="146"/>
      <c r="K154" s="25"/>
      <c r="L154" s="84">
        <f t="shared" si="13"/>
        <v>-8348</v>
      </c>
      <c r="M154" s="84">
        <f t="shared" si="13"/>
        <v>-8348</v>
      </c>
      <c r="N154" s="84">
        <f t="shared" si="13"/>
        <v>-8348</v>
      </c>
      <c r="O154" s="84">
        <f t="shared" si="13"/>
        <v>-8348</v>
      </c>
      <c r="P154" s="85">
        <f t="shared" si="15"/>
        <v>-7428</v>
      </c>
      <c r="Q154" s="85">
        <f t="shared" si="16"/>
        <v>0</v>
      </c>
    </row>
    <row r="155" spans="1:17">
      <c r="A155" s="164">
        <v>17424</v>
      </c>
      <c r="B155" s="168" t="s">
        <v>148</v>
      </c>
      <c r="C155" s="57">
        <f>VLOOKUP(A155,'Contribution Allocation_Report'!$A$9:$D$311,4,FALSE)</f>
        <v>5.0850832262657375E-4</v>
      </c>
      <c r="E155" s="81">
        <f>VLOOKUP(A155,Contributions_21!$A$9:$D$310,4,FALSE)</f>
        <v>5.1630000000000003E-4</v>
      </c>
      <c r="F155" s="26"/>
      <c r="G155" s="82">
        <f t="shared" si="17"/>
        <v>-34222</v>
      </c>
      <c r="H155" s="146">
        <f t="shared" si="14"/>
        <v>-5810</v>
      </c>
      <c r="I155" s="146">
        <f t="shared" si="18"/>
        <v>-28412</v>
      </c>
      <c r="J155" s="146"/>
      <c r="K155" s="25"/>
      <c r="L155" s="84">
        <f t="shared" si="13"/>
        <v>-5810</v>
      </c>
      <c r="M155" s="84">
        <f t="shared" si="13"/>
        <v>-5810</v>
      </c>
      <c r="N155" s="84">
        <f t="shared" si="13"/>
        <v>-5810</v>
      </c>
      <c r="O155" s="84">
        <f t="shared" si="13"/>
        <v>-5810</v>
      </c>
      <c r="P155" s="85">
        <f t="shared" si="15"/>
        <v>-5172</v>
      </c>
      <c r="Q155" s="85">
        <f t="shared" si="16"/>
        <v>0</v>
      </c>
    </row>
    <row r="156" spans="1:17">
      <c r="A156" s="166">
        <v>3200</v>
      </c>
      <c r="B156" s="167" t="s">
        <v>149</v>
      </c>
      <c r="C156" s="56">
        <f>VLOOKUP(A156,'Contribution Allocation_Report'!$A$9:$D$311,4,FALSE)</f>
        <v>2.0342006374580086E-3</v>
      </c>
      <c r="E156" s="81">
        <f>VLOOKUP(A156,Contributions_21!$A$9:$D$310,4,FALSE)</f>
        <v>2.0666999999999999E-3</v>
      </c>
      <c r="F156" s="26"/>
      <c r="G156" s="82">
        <f t="shared" si="17"/>
        <v>-142741</v>
      </c>
      <c r="H156" s="146">
        <f t="shared" si="14"/>
        <v>-24234</v>
      </c>
      <c r="I156" s="146">
        <f t="shared" si="18"/>
        <v>-118507</v>
      </c>
      <c r="J156" s="146"/>
      <c r="K156" s="25"/>
      <c r="L156" s="84">
        <f t="shared" si="13"/>
        <v>-24235</v>
      </c>
      <c r="M156" s="84">
        <f t="shared" si="13"/>
        <v>-24235</v>
      </c>
      <c r="N156" s="84">
        <f t="shared" si="13"/>
        <v>-24235</v>
      </c>
      <c r="O156" s="84">
        <f t="shared" si="13"/>
        <v>-24235</v>
      </c>
      <c r="P156" s="85">
        <f t="shared" si="15"/>
        <v>-21567</v>
      </c>
      <c r="Q156" s="85">
        <f t="shared" si="16"/>
        <v>0</v>
      </c>
    </row>
    <row r="157" spans="1:17">
      <c r="A157" s="164">
        <v>2365</v>
      </c>
      <c r="B157" s="168" t="s">
        <v>150</v>
      </c>
      <c r="C157" s="57">
        <f>VLOOKUP(A157,'Contribution Allocation_Report'!$A$9:$D$311,4,FALSE)</f>
        <v>2.8993351581238708E-4</v>
      </c>
      <c r="E157" s="81">
        <f>VLOOKUP(A157,Contributions_21!$A$9:$D$310,4,FALSE)</f>
        <v>3.3129999999999998E-4</v>
      </c>
      <c r="F157" s="26"/>
      <c r="G157" s="82">
        <f t="shared" si="17"/>
        <v>-181686</v>
      </c>
      <c r="H157" s="146">
        <f t="shared" si="14"/>
        <v>-30847</v>
      </c>
      <c r="I157" s="146">
        <f t="shared" si="18"/>
        <v>-150839</v>
      </c>
      <c r="J157" s="146"/>
      <c r="K157" s="25"/>
      <c r="L157" s="84">
        <f t="shared" si="13"/>
        <v>-30846</v>
      </c>
      <c r="M157" s="84">
        <f t="shared" si="13"/>
        <v>-30846</v>
      </c>
      <c r="N157" s="84">
        <f t="shared" si="13"/>
        <v>-30846</v>
      </c>
      <c r="O157" s="84">
        <f t="shared" si="13"/>
        <v>-30846</v>
      </c>
      <c r="P157" s="85">
        <f t="shared" si="15"/>
        <v>-27455</v>
      </c>
      <c r="Q157" s="85">
        <f t="shared" si="16"/>
        <v>0</v>
      </c>
    </row>
    <row r="158" spans="1:17">
      <c r="A158" s="166">
        <v>5014</v>
      </c>
      <c r="B158" s="167" t="s">
        <v>151</v>
      </c>
      <c r="C158" s="56">
        <f>VLOOKUP(A158,'Contribution Allocation_Report'!$A$9:$D$311,4,FALSE)</f>
        <v>4.065349654031834E-4</v>
      </c>
      <c r="E158" s="81">
        <f>VLOOKUP(A158,Contributions_21!$A$9:$D$310,4,FALSE)</f>
        <v>3.946E-4</v>
      </c>
      <c r="F158" s="26"/>
      <c r="G158" s="82">
        <f t="shared" si="17"/>
        <v>52420</v>
      </c>
      <c r="H158" s="146">
        <f t="shared" si="14"/>
        <v>8900</v>
      </c>
      <c r="I158" s="146">
        <f t="shared" si="18"/>
        <v>43520</v>
      </c>
      <c r="J158" s="146"/>
      <c r="K158" s="25"/>
      <c r="L158" s="84">
        <f t="shared" si="13"/>
        <v>8900</v>
      </c>
      <c r="M158" s="84">
        <f t="shared" si="13"/>
        <v>8900</v>
      </c>
      <c r="N158" s="84">
        <f t="shared" si="13"/>
        <v>8900</v>
      </c>
      <c r="O158" s="84">
        <f t="shared" si="13"/>
        <v>8900</v>
      </c>
      <c r="P158" s="85">
        <f t="shared" si="15"/>
        <v>7920</v>
      </c>
      <c r="Q158" s="85">
        <f t="shared" si="16"/>
        <v>0</v>
      </c>
    </row>
    <row r="159" spans="1:17">
      <c r="A159" s="164">
        <v>17127</v>
      </c>
      <c r="B159" s="168" t="s">
        <v>152</v>
      </c>
      <c r="C159" s="57">
        <f>VLOOKUP(A159,'Contribution Allocation_Report'!$A$9:$D$311,4,FALSE)</f>
        <v>4.2555345426847831E-4</v>
      </c>
      <c r="E159" s="81">
        <f>VLOOKUP(A159,Contributions_21!$A$9:$D$310,4,FALSE)</f>
        <v>4.1950000000000001E-4</v>
      </c>
      <c r="F159" s="26"/>
      <c r="G159" s="82">
        <f t="shared" si="17"/>
        <v>26587</v>
      </c>
      <c r="H159" s="146">
        <f t="shared" si="14"/>
        <v>4514</v>
      </c>
      <c r="I159" s="146">
        <f t="shared" si="18"/>
        <v>22073</v>
      </c>
      <c r="J159" s="146"/>
      <c r="K159" s="25"/>
      <c r="L159" s="84">
        <f t="shared" si="13"/>
        <v>4514</v>
      </c>
      <c r="M159" s="84">
        <f t="shared" si="13"/>
        <v>4514</v>
      </c>
      <c r="N159" s="84">
        <f t="shared" si="13"/>
        <v>4514</v>
      </c>
      <c r="O159" s="84">
        <f t="shared" si="13"/>
        <v>4514</v>
      </c>
      <c r="P159" s="85">
        <f t="shared" si="15"/>
        <v>4017</v>
      </c>
      <c r="Q159" s="85">
        <f t="shared" si="16"/>
        <v>0</v>
      </c>
    </row>
    <row r="160" spans="1:17">
      <c r="A160" s="166">
        <v>10141</v>
      </c>
      <c r="B160" s="167" t="s">
        <v>153</v>
      </c>
      <c r="C160" s="56">
        <f>VLOOKUP(A160,'Contribution Allocation_Report'!$A$9:$D$311,4,FALSE)</f>
        <v>7.8775132140598456E-4</v>
      </c>
      <c r="E160" s="81">
        <f>VLOOKUP(A160,Contributions_21!$A$9:$D$310,4,FALSE)</f>
        <v>6.1939999999999999E-4</v>
      </c>
      <c r="F160" s="26"/>
      <c r="G160" s="82">
        <f t="shared" si="17"/>
        <v>739419</v>
      </c>
      <c r="H160" s="146">
        <f t="shared" si="14"/>
        <v>125538</v>
      </c>
      <c r="I160" s="146">
        <f t="shared" si="18"/>
        <v>613881</v>
      </c>
      <c r="J160" s="146"/>
      <c r="K160" s="25"/>
      <c r="L160" s="84">
        <f t="shared" si="13"/>
        <v>125538</v>
      </c>
      <c r="M160" s="84">
        <f t="shared" si="13"/>
        <v>125538</v>
      </c>
      <c r="N160" s="84">
        <f t="shared" si="13"/>
        <v>125538</v>
      </c>
      <c r="O160" s="84">
        <f t="shared" si="13"/>
        <v>125538</v>
      </c>
      <c r="P160" s="85">
        <f t="shared" si="15"/>
        <v>111729</v>
      </c>
      <c r="Q160" s="85">
        <f t="shared" si="16"/>
        <v>0</v>
      </c>
    </row>
    <row r="161" spans="1:17">
      <c r="A161" s="164">
        <v>13369</v>
      </c>
      <c r="B161" s="168" t="s">
        <v>154</v>
      </c>
      <c r="C161" s="57">
        <f>VLOOKUP(A161,'Contribution Allocation_Report'!$A$9:$D$311,4,FALSE)</f>
        <v>1.4420385268514781E-4</v>
      </c>
      <c r="E161" s="81">
        <f>VLOOKUP(A161,Contributions_21!$A$9:$D$310,4,FALSE)</f>
        <v>1.3310000000000001E-4</v>
      </c>
      <c r="F161" s="26"/>
      <c r="G161" s="82">
        <f t="shared" si="17"/>
        <v>48769</v>
      </c>
      <c r="H161" s="146">
        <f t="shared" si="14"/>
        <v>8280</v>
      </c>
      <c r="I161" s="146">
        <f t="shared" si="18"/>
        <v>40489</v>
      </c>
      <c r="J161" s="146"/>
      <c r="K161" s="25"/>
      <c r="L161" s="84">
        <f t="shared" si="13"/>
        <v>8280</v>
      </c>
      <c r="M161" s="84">
        <f t="shared" si="13"/>
        <v>8280</v>
      </c>
      <c r="N161" s="84">
        <f t="shared" si="13"/>
        <v>8280</v>
      </c>
      <c r="O161" s="84">
        <f t="shared" si="13"/>
        <v>8280</v>
      </c>
      <c r="P161" s="85">
        <f t="shared" si="15"/>
        <v>7369</v>
      </c>
      <c r="Q161" s="85">
        <f t="shared" si="16"/>
        <v>0</v>
      </c>
    </row>
    <row r="162" spans="1:17">
      <c r="A162" s="166">
        <v>4570</v>
      </c>
      <c r="B162" s="167" t="s">
        <v>412</v>
      </c>
      <c r="C162" s="56">
        <f>VLOOKUP(A162,'Contribution Allocation_Report'!$A$9:$D$311,4,FALSE)</f>
        <v>1.5412654252791038E-3</v>
      </c>
      <c r="E162" s="81">
        <f>VLOOKUP(A162,Contributions_21!$A$9:$D$310,4,FALSE)</f>
        <v>1.469E-3</v>
      </c>
      <c r="F162" s="26"/>
      <c r="G162" s="82">
        <f t="shared" si="17"/>
        <v>317398</v>
      </c>
      <c r="H162" s="146">
        <f t="shared" si="14"/>
        <v>53888</v>
      </c>
      <c r="I162" s="146">
        <f t="shared" si="18"/>
        <v>263510</v>
      </c>
      <c r="J162" s="146"/>
      <c r="K162" s="25"/>
      <c r="L162" s="84">
        <f t="shared" si="13"/>
        <v>53888</v>
      </c>
      <c r="M162" s="84">
        <f t="shared" si="13"/>
        <v>53888</v>
      </c>
      <c r="N162" s="84">
        <f t="shared" si="13"/>
        <v>53888</v>
      </c>
      <c r="O162" s="84">
        <f t="shared" si="13"/>
        <v>53888</v>
      </c>
      <c r="P162" s="85">
        <f t="shared" si="15"/>
        <v>47958</v>
      </c>
      <c r="Q162" s="85">
        <f t="shared" si="16"/>
        <v>0</v>
      </c>
    </row>
    <row r="163" spans="1:17">
      <c r="A163" s="164">
        <v>2425</v>
      </c>
      <c r="B163" s="168" t="s">
        <v>155</v>
      </c>
      <c r="C163" s="57">
        <f>VLOOKUP(A163,'Contribution Allocation_Report'!$A$9:$D$311,4,FALSE)</f>
        <v>2.5245567377928618E-3</v>
      </c>
      <c r="E163" s="81">
        <f>VLOOKUP(A163,Contributions_21!$A$9:$D$310,4,FALSE)</f>
        <v>1.7424000000000001E-3</v>
      </c>
      <c r="F163" s="26"/>
      <c r="G163" s="82">
        <f t="shared" si="17"/>
        <v>3435324</v>
      </c>
      <c r="H163" s="146">
        <f t="shared" si="14"/>
        <v>583247</v>
      </c>
      <c r="I163" s="146">
        <f t="shared" si="18"/>
        <v>2852077</v>
      </c>
      <c r="J163" s="146"/>
      <c r="K163" s="25"/>
      <c r="L163" s="84">
        <f t="shared" si="13"/>
        <v>583247</v>
      </c>
      <c r="M163" s="84">
        <f t="shared" si="13"/>
        <v>583247</v>
      </c>
      <c r="N163" s="84">
        <f t="shared" si="13"/>
        <v>583247</v>
      </c>
      <c r="O163" s="84">
        <f t="shared" si="13"/>
        <v>583247</v>
      </c>
      <c r="P163" s="85">
        <f t="shared" si="15"/>
        <v>519089</v>
      </c>
      <c r="Q163" s="85">
        <f t="shared" si="16"/>
        <v>0</v>
      </c>
    </row>
    <row r="164" spans="1:17">
      <c r="A164" s="166">
        <v>1306</v>
      </c>
      <c r="B164" s="167" t="s">
        <v>156</v>
      </c>
      <c r="C164" s="56">
        <f>VLOOKUP(A164,'Contribution Allocation_Report'!$A$9:$D$311,4,FALSE)</f>
        <v>5.1582236881027679E-4</v>
      </c>
      <c r="E164" s="81">
        <f>VLOOKUP(A164,Contributions_21!$A$9:$D$310,4,FALSE)</f>
        <v>4.7310000000000001E-4</v>
      </c>
      <c r="F164" s="26"/>
      <c r="G164" s="82">
        <f t="shared" si="17"/>
        <v>187642</v>
      </c>
      <c r="H164" s="146">
        <f t="shared" si="14"/>
        <v>31858</v>
      </c>
      <c r="I164" s="146">
        <f t="shared" si="18"/>
        <v>155784</v>
      </c>
      <c r="J164" s="146"/>
      <c r="K164" s="25"/>
      <c r="L164" s="84">
        <f t="shared" si="13"/>
        <v>31858</v>
      </c>
      <c r="M164" s="84">
        <f t="shared" si="13"/>
        <v>31858</v>
      </c>
      <c r="N164" s="84">
        <f t="shared" si="13"/>
        <v>31858</v>
      </c>
      <c r="O164" s="84">
        <f t="shared" si="13"/>
        <v>31858</v>
      </c>
      <c r="P164" s="85">
        <f t="shared" si="15"/>
        <v>28352</v>
      </c>
      <c r="Q164" s="85">
        <f t="shared" si="16"/>
        <v>0</v>
      </c>
    </row>
    <row r="165" spans="1:17">
      <c r="A165" s="164">
        <v>2351</v>
      </c>
      <c r="B165" s="168" t="s">
        <v>157</v>
      </c>
      <c r="C165" s="57">
        <f>VLOOKUP(A165,'Contribution Allocation_Report'!$A$9:$D$311,4,FALSE)</f>
        <v>4.2379138930632109E-4</v>
      </c>
      <c r="E165" s="81">
        <f>VLOOKUP(A165,Contributions_21!$A$9:$D$310,4,FALSE)</f>
        <v>3.7510000000000001E-4</v>
      </c>
      <c r="F165" s="26"/>
      <c r="G165" s="82">
        <f t="shared" si="17"/>
        <v>213858</v>
      </c>
      <c r="H165" s="146">
        <f t="shared" si="14"/>
        <v>36309</v>
      </c>
      <c r="I165" s="146">
        <f t="shared" si="18"/>
        <v>177549</v>
      </c>
      <c r="J165" s="146"/>
      <c r="K165" s="25"/>
      <c r="L165" s="84">
        <f t="shared" si="13"/>
        <v>36309</v>
      </c>
      <c r="M165" s="84">
        <f t="shared" si="13"/>
        <v>36309</v>
      </c>
      <c r="N165" s="84">
        <f t="shared" si="13"/>
        <v>36309</v>
      </c>
      <c r="O165" s="84">
        <f t="shared" si="13"/>
        <v>36309</v>
      </c>
      <c r="P165" s="85">
        <f t="shared" si="15"/>
        <v>32313</v>
      </c>
      <c r="Q165" s="85">
        <f t="shared" si="16"/>
        <v>0</v>
      </c>
    </row>
    <row r="166" spans="1:17">
      <c r="A166" s="166">
        <v>2334</v>
      </c>
      <c r="B166" s="167" t="s">
        <v>158</v>
      </c>
      <c r="C166" s="56">
        <f>VLOOKUP(A166,'Contribution Allocation_Report'!$A$9:$D$311,4,FALSE)</f>
        <v>3.0686508975043432E-4</v>
      </c>
      <c r="E166" s="81">
        <f>VLOOKUP(A166,Contributions_21!$A$9:$D$310,4,FALSE)</f>
        <v>2.6939999999999999E-4</v>
      </c>
      <c r="F166" s="26"/>
      <c r="G166" s="82">
        <f t="shared" si="17"/>
        <v>164551</v>
      </c>
      <c r="H166" s="146">
        <f t="shared" si="14"/>
        <v>27937</v>
      </c>
      <c r="I166" s="146">
        <f t="shared" si="18"/>
        <v>136614</v>
      </c>
      <c r="J166" s="146"/>
      <c r="K166" s="25"/>
      <c r="L166" s="84">
        <f t="shared" si="13"/>
        <v>27937</v>
      </c>
      <c r="M166" s="84">
        <f t="shared" si="13"/>
        <v>27937</v>
      </c>
      <c r="N166" s="84">
        <f t="shared" si="13"/>
        <v>27937</v>
      </c>
      <c r="O166" s="84">
        <f t="shared" si="13"/>
        <v>27937</v>
      </c>
      <c r="P166" s="85">
        <f t="shared" si="15"/>
        <v>24866</v>
      </c>
      <c r="Q166" s="85">
        <f t="shared" si="16"/>
        <v>0</v>
      </c>
    </row>
    <row r="167" spans="1:17">
      <c r="A167" s="164">
        <v>30089</v>
      </c>
      <c r="B167" s="168" t="s">
        <v>159</v>
      </c>
      <c r="C167" s="57">
        <f>VLOOKUP(A167,'Contribution Allocation_Report'!$A$9:$D$311,4,FALSE)</f>
        <v>8.8753932431876652E-4</v>
      </c>
      <c r="E167" s="81">
        <f>VLOOKUP(A167,Contributions_21!$A$9:$D$310,4,FALSE)</f>
        <v>8.2140000000000002E-4</v>
      </c>
      <c r="F167" s="26"/>
      <c r="G167" s="82">
        <f t="shared" si="17"/>
        <v>290492</v>
      </c>
      <c r="H167" s="146">
        <f t="shared" si="14"/>
        <v>49320</v>
      </c>
      <c r="I167" s="146">
        <f t="shared" si="18"/>
        <v>241172</v>
      </c>
      <c r="J167" s="146"/>
      <c r="K167" s="25"/>
      <c r="L167" s="84">
        <f t="shared" si="13"/>
        <v>49319</v>
      </c>
      <c r="M167" s="84">
        <f t="shared" si="13"/>
        <v>49319</v>
      </c>
      <c r="N167" s="84">
        <f t="shared" si="13"/>
        <v>49319</v>
      </c>
      <c r="O167" s="84">
        <f t="shared" si="13"/>
        <v>49319</v>
      </c>
      <c r="P167" s="85">
        <f t="shared" si="15"/>
        <v>43896</v>
      </c>
      <c r="Q167" s="85">
        <f t="shared" si="16"/>
        <v>0</v>
      </c>
    </row>
    <row r="168" spans="1:17">
      <c r="A168" s="166">
        <v>9324</v>
      </c>
      <c r="B168" s="167" t="s">
        <v>160</v>
      </c>
      <c r="C168" s="56">
        <f>VLOOKUP(A168,'Contribution Allocation_Report'!$A$9:$D$311,4,FALSE)</f>
        <v>1.0648188098131229E-4</v>
      </c>
      <c r="E168" s="81">
        <f>VLOOKUP(A168,Contributions_21!$A$9:$D$310,4,FALSE)</f>
        <v>1.187E-4</v>
      </c>
      <c r="F168" s="26"/>
      <c r="G168" s="82">
        <f t="shared" si="17"/>
        <v>-53663</v>
      </c>
      <c r="H168" s="146">
        <f t="shared" si="14"/>
        <v>-9111</v>
      </c>
      <c r="I168" s="146">
        <f t="shared" si="18"/>
        <v>-44552</v>
      </c>
      <c r="J168" s="146"/>
      <c r="K168" s="25"/>
      <c r="L168" s="84">
        <f t="shared" si="13"/>
        <v>-9111</v>
      </c>
      <c r="M168" s="84">
        <f t="shared" si="13"/>
        <v>-9111</v>
      </c>
      <c r="N168" s="84">
        <f t="shared" si="13"/>
        <v>-9111</v>
      </c>
      <c r="O168" s="84">
        <f t="shared" si="13"/>
        <v>-9111</v>
      </c>
      <c r="P168" s="85">
        <f t="shared" si="15"/>
        <v>-8108</v>
      </c>
      <c r="Q168" s="85">
        <f t="shared" si="16"/>
        <v>0</v>
      </c>
    </row>
    <row r="169" spans="1:17">
      <c r="A169" s="164">
        <v>22066</v>
      </c>
      <c r="B169" s="168" t="s">
        <v>161</v>
      </c>
      <c r="C169" s="57">
        <f>VLOOKUP(A169,'Contribution Allocation_Report'!$A$9:$D$311,4,FALSE)</f>
        <v>3.1099166870091652E-3</v>
      </c>
      <c r="E169" s="81">
        <f>VLOOKUP(A169,Contributions_21!$A$9:$D$310,4,FALSE)</f>
        <v>3.1659000000000001E-3</v>
      </c>
      <c r="F169" s="26"/>
      <c r="G169" s="82">
        <f t="shared" si="17"/>
        <v>-245885</v>
      </c>
      <c r="H169" s="146">
        <f t="shared" si="14"/>
        <v>-41746</v>
      </c>
      <c r="I169" s="146">
        <f t="shared" si="18"/>
        <v>-204139</v>
      </c>
      <c r="J169" s="146"/>
      <c r="K169" s="25"/>
      <c r="L169" s="84">
        <f t="shared" si="13"/>
        <v>-41746</v>
      </c>
      <c r="M169" s="84">
        <f t="shared" si="13"/>
        <v>-41746</v>
      </c>
      <c r="N169" s="84">
        <f t="shared" si="13"/>
        <v>-41746</v>
      </c>
      <c r="O169" s="84">
        <f t="shared" si="13"/>
        <v>-41746</v>
      </c>
      <c r="P169" s="85">
        <f t="shared" si="15"/>
        <v>-37155</v>
      </c>
      <c r="Q169" s="85">
        <f t="shared" si="16"/>
        <v>0</v>
      </c>
    </row>
    <row r="170" spans="1:17">
      <c r="A170" s="166">
        <v>16356</v>
      </c>
      <c r="B170" s="167" t="s">
        <v>162</v>
      </c>
      <c r="C170" s="56">
        <f>VLOOKUP(A170,'Contribution Allocation_Report'!$A$9:$D$311,4,FALSE)</f>
        <v>1.9217336419683631E-4</v>
      </c>
      <c r="E170" s="81">
        <f>VLOOKUP(A170,Contributions_21!$A$9:$D$310,4,FALSE)</f>
        <v>1.972E-4</v>
      </c>
      <c r="F170" s="26"/>
      <c r="G170" s="82">
        <f t="shared" si="17"/>
        <v>-22078</v>
      </c>
      <c r="H170" s="146">
        <f t="shared" si="14"/>
        <v>-3748</v>
      </c>
      <c r="I170" s="146">
        <f t="shared" si="18"/>
        <v>-18330</v>
      </c>
      <c r="J170" s="146"/>
      <c r="K170" s="25"/>
      <c r="L170" s="84">
        <f t="shared" si="13"/>
        <v>-3748</v>
      </c>
      <c r="M170" s="84">
        <f t="shared" si="13"/>
        <v>-3748</v>
      </c>
      <c r="N170" s="84">
        <f t="shared" si="13"/>
        <v>-3748</v>
      </c>
      <c r="O170" s="84">
        <f t="shared" si="13"/>
        <v>-3748</v>
      </c>
      <c r="P170" s="85">
        <f t="shared" si="15"/>
        <v>-3338</v>
      </c>
      <c r="Q170" s="85">
        <f t="shared" si="16"/>
        <v>0</v>
      </c>
    </row>
    <row r="171" spans="1:17">
      <c r="A171" s="164">
        <v>31091</v>
      </c>
      <c r="B171" s="168" t="s">
        <v>163</v>
      </c>
      <c r="C171" s="57">
        <f>VLOOKUP(A171,'Contribution Allocation_Report'!$A$9:$D$311,4,FALSE)</f>
        <v>1.805673608986051E-4</v>
      </c>
      <c r="E171" s="81">
        <f>VLOOKUP(A171,Contributions_21!$A$9:$D$310,4,FALSE)</f>
        <v>1.875E-4</v>
      </c>
      <c r="F171" s="26"/>
      <c r="G171" s="82">
        <f t="shared" si="17"/>
        <v>-30449</v>
      </c>
      <c r="H171" s="146">
        <f t="shared" si="14"/>
        <v>-5170</v>
      </c>
      <c r="I171" s="146">
        <f t="shared" si="18"/>
        <v>-25279</v>
      </c>
      <c r="J171" s="146"/>
      <c r="K171" s="25"/>
      <c r="L171" s="84">
        <f t="shared" si="13"/>
        <v>-5170</v>
      </c>
      <c r="M171" s="84">
        <f t="shared" si="13"/>
        <v>-5170</v>
      </c>
      <c r="N171" s="84">
        <f t="shared" si="13"/>
        <v>-5170</v>
      </c>
      <c r="O171" s="84">
        <f t="shared" si="13"/>
        <v>-5170</v>
      </c>
      <c r="P171" s="85">
        <f t="shared" si="15"/>
        <v>-4599</v>
      </c>
      <c r="Q171" s="85">
        <f t="shared" si="16"/>
        <v>0</v>
      </c>
    </row>
    <row r="172" spans="1:17">
      <c r="A172" s="166">
        <v>2342</v>
      </c>
      <c r="B172" s="167" t="s">
        <v>164</v>
      </c>
      <c r="C172" s="56">
        <f>VLOOKUP(A172,'Contribution Allocation_Report'!$A$9:$D$311,4,FALSE)</f>
        <v>3.209025458176758E-4</v>
      </c>
      <c r="E172" s="81">
        <f>VLOOKUP(A172,Contributions_21!$A$9:$D$310,4,FALSE)</f>
        <v>2.9819999999999998E-4</v>
      </c>
      <c r="F172" s="26"/>
      <c r="G172" s="82">
        <f t="shared" si="17"/>
        <v>99712</v>
      </c>
      <c r="H172" s="146">
        <f t="shared" si="14"/>
        <v>16929</v>
      </c>
      <c r="I172" s="146">
        <f t="shared" si="18"/>
        <v>82783</v>
      </c>
      <c r="J172" s="146"/>
      <c r="K172" s="25"/>
      <c r="L172" s="84">
        <f t="shared" si="13"/>
        <v>16929</v>
      </c>
      <c r="M172" s="84">
        <f t="shared" si="13"/>
        <v>16929</v>
      </c>
      <c r="N172" s="84">
        <f t="shared" si="13"/>
        <v>16929</v>
      </c>
      <c r="O172" s="84">
        <f t="shared" si="13"/>
        <v>16929</v>
      </c>
      <c r="P172" s="85">
        <f t="shared" si="15"/>
        <v>15067</v>
      </c>
      <c r="Q172" s="85">
        <f t="shared" si="16"/>
        <v>0</v>
      </c>
    </row>
    <row r="173" spans="1:17">
      <c r="A173" s="164">
        <v>22067</v>
      </c>
      <c r="B173" s="168" t="s">
        <v>165</v>
      </c>
      <c r="C173" s="57">
        <f>VLOOKUP(A173,'Contribution Allocation_Report'!$A$9:$D$311,4,FALSE)</f>
        <v>4.6361996381407642E-4</v>
      </c>
      <c r="E173" s="81">
        <f>VLOOKUP(A173,Contributions_21!$A$9:$D$310,4,FALSE)</f>
        <v>4.4109999999999999E-4</v>
      </c>
      <c r="F173" s="26"/>
      <c r="G173" s="82">
        <f t="shared" si="17"/>
        <v>98910</v>
      </c>
      <c r="H173" s="146">
        <f t="shared" si="14"/>
        <v>16793</v>
      </c>
      <c r="I173" s="146">
        <f t="shared" si="18"/>
        <v>82117</v>
      </c>
      <c r="J173" s="146"/>
      <c r="K173" s="25"/>
      <c r="L173" s="84">
        <f t="shared" si="13"/>
        <v>16793</v>
      </c>
      <c r="M173" s="84">
        <f t="shared" si="13"/>
        <v>16793</v>
      </c>
      <c r="N173" s="84">
        <f t="shared" si="13"/>
        <v>16793</v>
      </c>
      <c r="O173" s="84">
        <f t="shared" si="13"/>
        <v>16793</v>
      </c>
      <c r="P173" s="85">
        <f t="shared" si="15"/>
        <v>14945</v>
      </c>
      <c r="Q173" s="85">
        <f t="shared" si="16"/>
        <v>0</v>
      </c>
    </row>
    <row r="174" spans="1:17">
      <c r="A174" s="166">
        <v>32112</v>
      </c>
      <c r="B174" s="167" t="s">
        <v>166</v>
      </c>
      <c r="C174" s="56">
        <f>VLOOKUP(A174,'Contribution Allocation_Report'!$A$9:$D$311,4,FALSE)</f>
        <v>2.4457264795975814E-4</v>
      </c>
      <c r="E174" s="81">
        <f>VLOOKUP(A174,Contributions_21!$A$9:$D$310,4,FALSE)</f>
        <v>2.6059999999999999E-4</v>
      </c>
      <c r="F174" s="26"/>
      <c r="G174" s="82">
        <f t="shared" si="17"/>
        <v>-70394</v>
      </c>
      <c r="H174" s="146">
        <f t="shared" si="14"/>
        <v>-11951</v>
      </c>
      <c r="I174" s="146">
        <f t="shared" si="18"/>
        <v>-58443</v>
      </c>
      <c r="J174" s="146"/>
      <c r="K174" s="25"/>
      <c r="L174" s="84">
        <f t="shared" si="13"/>
        <v>-11952</v>
      </c>
      <c r="M174" s="84">
        <f t="shared" si="13"/>
        <v>-11952</v>
      </c>
      <c r="N174" s="84">
        <f t="shared" si="13"/>
        <v>-11952</v>
      </c>
      <c r="O174" s="84">
        <f t="shared" si="13"/>
        <v>-11952</v>
      </c>
      <c r="P174" s="85">
        <f t="shared" si="15"/>
        <v>-10635</v>
      </c>
      <c r="Q174" s="85">
        <f t="shared" si="16"/>
        <v>0</v>
      </c>
    </row>
    <row r="175" spans="1:17">
      <c r="A175" s="164">
        <v>2354</v>
      </c>
      <c r="B175" s="168" t="s">
        <v>167</v>
      </c>
      <c r="C175" s="57">
        <f>VLOOKUP(A175,'Contribution Allocation_Report'!$A$9:$D$311,4,FALSE)</f>
        <v>7.8215996443109449E-4</v>
      </c>
      <c r="E175" s="81">
        <f>VLOOKUP(A175,Contributions_21!$A$9:$D$310,4,FALSE)</f>
        <v>6.7969999999999999E-4</v>
      </c>
      <c r="F175" s="26"/>
      <c r="G175" s="82">
        <f t="shared" si="17"/>
        <v>450016</v>
      </c>
      <c r="H175" s="146">
        <f t="shared" si="14"/>
        <v>76403</v>
      </c>
      <c r="I175" s="146">
        <f t="shared" si="18"/>
        <v>373613</v>
      </c>
      <c r="J175" s="146"/>
      <c r="K175" s="25"/>
      <c r="L175" s="84">
        <f t="shared" si="13"/>
        <v>76403</v>
      </c>
      <c r="M175" s="84">
        <f t="shared" si="13"/>
        <v>76403</v>
      </c>
      <c r="N175" s="84">
        <f t="shared" si="13"/>
        <v>76403</v>
      </c>
      <c r="O175" s="84">
        <f t="shared" si="13"/>
        <v>76403</v>
      </c>
      <c r="P175" s="85">
        <f t="shared" si="15"/>
        <v>68001</v>
      </c>
      <c r="Q175" s="85">
        <f t="shared" si="16"/>
        <v>0</v>
      </c>
    </row>
    <row r="176" spans="1:17">
      <c r="A176" s="166">
        <v>2148</v>
      </c>
      <c r="B176" s="167" t="s">
        <v>168</v>
      </c>
      <c r="C176" s="56">
        <f>VLOOKUP(A176,'Contribution Allocation_Report'!$A$9:$D$311,4,FALSE)</f>
        <v>2.3473855356202024E-4</v>
      </c>
      <c r="E176" s="81">
        <f>VLOOKUP(A176,Contributions_21!$A$9:$D$310,4,FALSE)</f>
        <v>2.4220000000000001E-4</v>
      </c>
      <c r="F176" s="26"/>
      <c r="G176" s="82">
        <f t="shared" si="17"/>
        <v>-32772</v>
      </c>
      <c r="H176" s="146">
        <f t="shared" si="14"/>
        <v>-5564</v>
      </c>
      <c r="I176" s="146">
        <f t="shared" si="18"/>
        <v>-27208</v>
      </c>
      <c r="J176" s="146"/>
      <c r="K176" s="25"/>
      <c r="L176" s="84">
        <f t="shared" si="13"/>
        <v>-5564</v>
      </c>
      <c r="M176" s="84">
        <f t="shared" si="13"/>
        <v>-5564</v>
      </c>
      <c r="N176" s="84">
        <f t="shared" si="13"/>
        <v>-5564</v>
      </c>
      <c r="O176" s="84">
        <f t="shared" si="13"/>
        <v>-5564</v>
      </c>
      <c r="P176" s="85">
        <f t="shared" si="15"/>
        <v>-4952</v>
      </c>
      <c r="Q176" s="85">
        <f t="shared" si="16"/>
        <v>0</v>
      </c>
    </row>
    <row r="177" spans="1:17">
      <c r="A177" s="164">
        <v>1418</v>
      </c>
      <c r="B177" s="168" t="s">
        <v>169</v>
      </c>
      <c r="C177" s="57">
        <f>VLOOKUP(A177,'Contribution Allocation_Report'!$A$9:$D$311,4,FALSE)</f>
        <v>9.807220446080428E-4</v>
      </c>
      <c r="E177" s="81">
        <f>VLOOKUP(A177,Contributions_21!$A$9:$D$310,4,FALSE)</f>
        <v>9.3440000000000005E-4</v>
      </c>
      <c r="F177" s="26"/>
      <c r="G177" s="82">
        <f t="shared" si="17"/>
        <v>203452</v>
      </c>
      <c r="H177" s="146">
        <f t="shared" si="14"/>
        <v>34542</v>
      </c>
      <c r="I177" s="146">
        <f t="shared" si="18"/>
        <v>168910</v>
      </c>
      <c r="J177" s="146"/>
      <c r="K177" s="25"/>
      <c r="L177" s="84">
        <f t="shared" si="13"/>
        <v>34542</v>
      </c>
      <c r="M177" s="84">
        <f t="shared" si="13"/>
        <v>34542</v>
      </c>
      <c r="N177" s="84">
        <f t="shared" si="13"/>
        <v>34542</v>
      </c>
      <c r="O177" s="84">
        <f t="shared" si="13"/>
        <v>34542</v>
      </c>
      <c r="P177" s="85">
        <f t="shared" si="15"/>
        <v>30742</v>
      </c>
      <c r="Q177" s="85">
        <f t="shared" si="16"/>
        <v>0</v>
      </c>
    </row>
    <row r="178" spans="1:17">
      <c r="A178" s="166">
        <v>12102</v>
      </c>
      <c r="B178" s="167" t="s">
        <v>170</v>
      </c>
      <c r="C178" s="56">
        <f>VLOOKUP(A178,'Contribution Allocation_Report'!$A$9:$D$311,4,FALSE)</f>
        <v>5.5027024662353411E-3</v>
      </c>
      <c r="E178" s="81">
        <f>VLOOKUP(A178,Contributions_21!$A$9:$D$310,4,FALSE)</f>
        <v>5.2953000000000002E-3</v>
      </c>
      <c r="F178" s="26"/>
      <c r="G178" s="82">
        <f t="shared" si="17"/>
        <v>910936</v>
      </c>
      <c r="H178" s="146">
        <f t="shared" si="14"/>
        <v>154658</v>
      </c>
      <c r="I178" s="146">
        <f t="shared" si="18"/>
        <v>756278</v>
      </c>
      <c r="J178" s="146"/>
      <c r="K178" s="25"/>
      <c r="L178" s="84">
        <f t="shared" si="13"/>
        <v>154658</v>
      </c>
      <c r="M178" s="84">
        <f t="shared" si="13"/>
        <v>154658</v>
      </c>
      <c r="N178" s="84">
        <f t="shared" si="13"/>
        <v>154658</v>
      </c>
      <c r="O178" s="84">
        <f t="shared" si="13"/>
        <v>154658</v>
      </c>
      <c r="P178" s="85">
        <f t="shared" si="15"/>
        <v>137646</v>
      </c>
      <c r="Q178" s="85">
        <f t="shared" si="16"/>
        <v>0</v>
      </c>
    </row>
    <row r="179" spans="1:17">
      <c r="A179" s="164">
        <v>2414</v>
      </c>
      <c r="B179" s="168" t="s">
        <v>171</v>
      </c>
      <c r="C179" s="57">
        <f>VLOOKUP(A179,'Contribution Allocation_Report'!$A$9:$D$311,4,FALSE)</f>
        <v>4.6531312120788116E-4</v>
      </c>
      <c r="E179" s="81">
        <f>VLOOKUP(A179,Contributions_21!$A$9:$D$310,4,FALSE)</f>
        <v>4.0170000000000001E-4</v>
      </c>
      <c r="F179" s="26"/>
      <c r="G179" s="82">
        <f t="shared" si="17"/>
        <v>279396</v>
      </c>
      <c r="H179" s="146">
        <f t="shared" si="14"/>
        <v>47436</v>
      </c>
      <c r="I179" s="146">
        <f t="shared" si="18"/>
        <v>231960</v>
      </c>
      <c r="J179" s="146"/>
      <c r="K179" s="25"/>
      <c r="L179" s="84">
        <f t="shared" si="13"/>
        <v>47436</v>
      </c>
      <c r="M179" s="84">
        <f t="shared" si="13"/>
        <v>47436</v>
      </c>
      <c r="N179" s="84">
        <f t="shared" si="13"/>
        <v>47436</v>
      </c>
      <c r="O179" s="84">
        <f t="shared" si="13"/>
        <v>47436</v>
      </c>
      <c r="P179" s="85">
        <f t="shared" si="15"/>
        <v>42216</v>
      </c>
      <c r="Q179" s="85">
        <f t="shared" si="16"/>
        <v>0</v>
      </c>
    </row>
    <row r="180" spans="1:17">
      <c r="A180" s="166">
        <v>6124</v>
      </c>
      <c r="B180" s="167" t="s">
        <v>172</v>
      </c>
      <c r="C180" s="56">
        <f>VLOOKUP(A180,'Contribution Allocation_Report'!$A$9:$D$311,4,FALSE)</f>
        <v>2.4349965868112606E-3</v>
      </c>
      <c r="E180" s="81">
        <f>VLOOKUP(A180,Contributions_21!$A$9:$D$310,4,FALSE)</f>
        <v>2.4908999999999999E-3</v>
      </c>
      <c r="F180" s="26"/>
      <c r="G180" s="82">
        <f t="shared" si="17"/>
        <v>-245534</v>
      </c>
      <c r="H180" s="146">
        <f t="shared" si="14"/>
        <v>-41687</v>
      </c>
      <c r="I180" s="146">
        <f t="shared" si="18"/>
        <v>-203847</v>
      </c>
      <c r="J180" s="146"/>
      <c r="K180" s="25"/>
      <c r="L180" s="84">
        <f t="shared" si="13"/>
        <v>-41687</v>
      </c>
      <c r="M180" s="84">
        <f t="shared" si="13"/>
        <v>-41687</v>
      </c>
      <c r="N180" s="84">
        <f t="shared" si="13"/>
        <v>-41687</v>
      </c>
      <c r="O180" s="84">
        <f t="shared" si="13"/>
        <v>-41687</v>
      </c>
      <c r="P180" s="85">
        <f t="shared" si="15"/>
        <v>-37099</v>
      </c>
      <c r="Q180" s="85">
        <f t="shared" si="16"/>
        <v>0</v>
      </c>
    </row>
    <row r="181" spans="1:17">
      <c r="A181" s="164">
        <v>4097</v>
      </c>
      <c r="B181" s="168" t="s">
        <v>173</v>
      </c>
      <c r="C181" s="57">
        <f>VLOOKUP(A181,'Contribution Allocation_Report'!$A$9:$D$311,4,FALSE)</f>
        <v>2.9295954245689621E-3</v>
      </c>
      <c r="E181" s="81">
        <f>VLOOKUP(A181,Contributions_21!$A$9:$D$310,4,FALSE)</f>
        <v>2.9477000000000001E-3</v>
      </c>
      <c r="F181" s="26"/>
      <c r="G181" s="82">
        <f t="shared" si="17"/>
        <v>-79517</v>
      </c>
      <c r="H181" s="146">
        <f t="shared" si="14"/>
        <v>-13500</v>
      </c>
      <c r="I181" s="146">
        <f t="shared" si="18"/>
        <v>-66017</v>
      </c>
      <c r="J181" s="146"/>
      <c r="K181" s="25"/>
      <c r="L181" s="84">
        <f t="shared" si="13"/>
        <v>-13500</v>
      </c>
      <c r="M181" s="84">
        <f t="shared" si="13"/>
        <v>-13500</v>
      </c>
      <c r="N181" s="84">
        <f t="shared" si="13"/>
        <v>-13500</v>
      </c>
      <c r="O181" s="84">
        <f t="shared" si="13"/>
        <v>-13500</v>
      </c>
      <c r="P181" s="85">
        <f t="shared" si="15"/>
        <v>-12017</v>
      </c>
      <c r="Q181" s="85">
        <f t="shared" si="16"/>
        <v>0</v>
      </c>
    </row>
    <row r="182" spans="1:17">
      <c r="A182" s="166">
        <v>1416</v>
      </c>
      <c r="B182" s="167" t="s">
        <v>174</v>
      </c>
      <c r="C182" s="56">
        <f>VLOOKUP(A182,'Contribution Allocation_Report'!$A$9:$D$311,4,FALSE)</f>
        <v>3.8060603182596452E-4</v>
      </c>
      <c r="E182" s="81">
        <f>VLOOKUP(A182,Contributions_21!$A$9:$D$310,4,FALSE)</f>
        <v>3.6329999999999999E-4</v>
      </c>
      <c r="F182" s="26"/>
      <c r="G182" s="82">
        <f t="shared" si="17"/>
        <v>76010</v>
      </c>
      <c r="H182" s="146">
        <f t="shared" si="14"/>
        <v>12905</v>
      </c>
      <c r="I182" s="146">
        <f t="shared" si="18"/>
        <v>63105</v>
      </c>
      <c r="J182" s="146"/>
      <c r="K182" s="25"/>
      <c r="L182" s="84">
        <f t="shared" si="13"/>
        <v>12905</v>
      </c>
      <c r="M182" s="84">
        <f t="shared" si="13"/>
        <v>12905</v>
      </c>
      <c r="N182" s="84">
        <f t="shared" si="13"/>
        <v>12905</v>
      </c>
      <c r="O182" s="84">
        <f t="shared" si="13"/>
        <v>12905</v>
      </c>
      <c r="P182" s="85">
        <f t="shared" si="15"/>
        <v>11485</v>
      </c>
      <c r="Q182" s="85">
        <f t="shared" si="16"/>
        <v>0</v>
      </c>
    </row>
    <row r="183" spans="1:17">
      <c r="A183" s="164">
        <v>1094</v>
      </c>
      <c r="B183" s="168" t="s">
        <v>175</v>
      </c>
      <c r="C183" s="57">
        <f>VLOOKUP(A183,'Contribution Allocation_Report'!$A$9:$D$311,4,FALSE)</f>
        <v>2.0597555013784565E-3</v>
      </c>
      <c r="E183" s="81">
        <f>VLOOKUP(A183,Contributions_21!$A$9:$D$310,4,FALSE)</f>
        <v>2.2014999999999999E-3</v>
      </c>
      <c r="F183" s="26"/>
      <c r="G183" s="82">
        <f t="shared" si="17"/>
        <v>-622559</v>
      </c>
      <c r="H183" s="146">
        <f t="shared" si="14"/>
        <v>-105698</v>
      </c>
      <c r="I183" s="146">
        <f t="shared" si="18"/>
        <v>-516861</v>
      </c>
      <c r="J183" s="146"/>
      <c r="K183" s="25"/>
      <c r="L183" s="84">
        <f t="shared" si="13"/>
        <v>-105698</v>
      </c>
      <c r="M183" s="84">
        <f t="shared" si="13"/>
        <v>-105698</v>
      </c>
      <c r="N183" s="84">
        <f t="shared" si="13"/>
        <v>-105698</v>
      </c>
      <c r="O183" s="84">
        <f t="shared" si="13"/>
        <v>-105698</v>
      </c>
      <c r="P183" s="85">
        <f t="shared" si="15"/>
        <v>-94069</v>
      </c>
      <c r="Q183" s="85">
        <f t="shared" si="16"/>
        <v>0</v>
      </c>
    </row>
    <row r="184" spans="1:17">
      <c r="A184" s="166">
        <v>32111</v>
      </c>
      <c r="B184" s="167" t="s">
        <v>176</v>
      </c>
      <c r="C184" s="56">
        <f>VLOOKUP(A184,'Contribution Allocation_Report'!$A$9:$D$311,4,FALSE)</f>
        <v>2.0660753097902162E-3</v>
      </c>
      <c r="E184" s="81">
        <f>VLOOKUP(A184,Contributions_21!$A$9:$D$310,4,FALSE)</f>
        <v>2.0200999999999999E-3</v>
      </c>
      <c r="F184" s="26"/>
      <c r="G184" s="82">
        <f t="shared" si="17"/>
        <v>201929</v>
      </c>
      <c r="H184" s="146">
        <f t="shared" si="14"/>
        <v>34283</v>
      </c>
      <c r="I184" s="146">
        <f t="shared" si="18"/>
        <v>167646</v>
      </c>
      <c r="J184" s="146"/>
      <c r="K184" s="25"/>
      <c r="L184" s="84">
        <f t="shared" si="13"/>
        <v>34283</v>
      </c>
      <c r="M184" s="84">
        <f t="shared" si="13"/>
        <v>34283</v>
      </c>
      <c r="N184" s="84">
        <f t="shared" si="13"/>
        <v>34283</v>
      </c>
      <c r="O184" s="84">
        <f t="shared" si="13"/>
        <v>34283</v>
      </c>
      <c r="P184" s="85">
        <f t="shared" si="15"/>
        <v>30514</v>
      </c>
      <c r="Q184" s="85">
        <f t="shared" si="16"/>
        <v>0</v>
      </c>
    </row>
    <row r="185" spans="1:17">
      <c r="A185" s="164">
        <v>2520</v>
      </c>
      <c r="B185" s="168" t="s">
        <v>177</v>
      </c>
      <c r="C185" s="57">
        <f>VLOOKUP(A185,'Contribution Allocation_Report'!$A$9:$D$311,4,FALSE)</f>
        <v>3.110684514199379E-4</v>
      </c>
      <c r="E185" s="81">
        <f>VLOOKUP(A185,Contributions_21!$A$9:$D$310,4,FALSE)</f>
        <v>2.7930000000000001E-4</v>
      </c>
      <c r="F185" s="26"/>
      <c r="G185" s="82">
        <f t="shared" si="17"/>
        <v>139531</v>
      </c>
      <c r="H185" s="146">
        <f t="shared" si="14"/>
        <v>23689</v>
      </c>
      <c r="I185" s="146">
        <f t="shared" si="18"/>
        <v>115842</v>
      </c>
      <c r="J185" s="146"/>
      <c r="K185" s="25"/>
      <c r="L185" s="84">
        <f t="shared" si="13"/>
        <v>23690</v>
      </c>
      <c r="M185" s="84">
        <f t="shared" si="13"/>
        <v>23690</v>
      </c>
      <c r="N185" s="84">
        <f t="shared" si="13"/>
        <v>23690</v>
      </c>
      <c r="O185" s="84">
        <f t="shared" si="13"/>
        <v>23690</v>
      </c>
      <c r="P185" s="85">
        <f t="shared" si="15"/>
        <v>21082</v>
      </c>
      <c r="Q185" s="85">
        <f t="shared" si="16"/>
        <v>0</v>
      </c>
    </row>
    <row r="186" spans="1:17">
      <c r="A186" s="166">
        <v>3450</v>
      </c>
      <c r="B186" s="167" t="s">
        <v>178</v>
      </c>
      <c r="C186" s="56">
        <f>VLOOKUP(A186,'Contribution Allocation_Report'!$A$9:$D$311,4,FALSE)</f>
        <v>5.5675346441167242E-4</v>
      </c>
      <c r="E186" s="81">
        <f>VLOOKUP(A186,Contributions_21!$A$9:$D$310,4,FALSE)</f>
        <v>5.6959999999999997E-4</v>
      </c>
      <c r="F186" s="26"/>
      <c r="G186" s="82">
        <f t="shared" si="17"/>
        <v>-56423</v>
      </c>
      <c r="H186" s="146">
        <f t="shared" si="14"/>
        <v>-9579</v>
      </c>
      <c r="I186" s="146">
        <f t="shared" si="18"/>
        <v>-46844</v>
      </c>
      <c r="J186" s="146"/>
      <c r="K186" s="25"/>
      <c r="L186" s="84">
        <f t="shared" si="13"/>
        <v>-9580</v>
      </c>
      <c r="M186" s="84">
        <f t="shared" si="13"/>
        <v>-9580</v>
      </c>
      <c r="N186" s="84">
        <f t="shared" si="13"/>
        <v>-9580</v>
      </c>
      <c r="O186" s="84">
        <f t="shared" si="13"/>
        <v>-9580</v>
      </c>
      <c r="P186" s="85">
        <f t="shared" si="15"/>
        <v>-8524</v>
      </c>
      <c r="Q186" s="85">
        <f t="shared" si="16"/>
        <v>0</v>
      </c>
    </row>
    <row r="187" spans="1:17">
      <c r="A187" s="164">
        <v>4310</v>
      </c>
      <c r="B187" s="168" t="s">
        <v>179</v>
      </c>
      <c r="C187" s="57">
        <f>VLOOKUP(A187,'Contribution Allocation_Report'!$A$9:$D$311,4,FALSE)</f>
        <v>2.9335920635334081E-4</v>
      </c>
      <c r="E187" s="81">
        <f>VLOOKUP(A187,Contributions_21!$A$9:$D$310,4,FALSE)</f>
        <v>3.2539999999999999E-4</v>
      </c>
      <c r="F187" s="26"/>
      <c r="G187" s="82">
        <f t="shared" si="17"/>
        <v>-140727</v>
      </c>
      <c r="H187" s="146">
        <f t="shared" si="14"/>
        <v>-23893</v>
      </c>
      <c r="I187" s="146">
        <f t="shared" si="18"/>
        <v>-116834</v>
      </c>
      <c r="J187" s="146"/>
      <c r="K187" s="25"/>
      <c r="L187" s="84">
        <f t="shared" si="13"/>
        <v>-23892</v>
      </c>
      <c r="M187" s="84">
        <f t="shared" si="13"/>
        <v>-23892</v>
      </c>
      <c r="N187" s="84">
        <f t="shared" si="13"/>
        <v>-23892</v>
      </c>
      <c r="O187" s="84">
        <f t="shared" si="13"/>
        <v>-23892</v>
      </c>
      <c r="P187" s="85">
        <f t="shared" si="15"/>
        <v>-21266</v>
      </c>
      <c r="Q187" s="85">
        <f t="shared" si="16"/>
        <v>0</v>
      </c>
    </row>
    <row r="188" spans="1:17">
      <c r="A188" s="166">
        <v>2328</v>
      </c>
      <c r="B188" s="167" t="s">
        <v>180</v>
      </c>
      <c r="C188" s="56">
        <f>VLOOKUP(A188,'Contribution Allocation_Report'!$A$9:$D$311,4,FALSE)</f>
        <v>5.5133929832683175E-4</v>
      </c>
      <c r="E188" s="81">
        <f>VLOOKUP(A188,Contributions_21!$A$9:$D$310,4,FALSE)</f>
        <v>5.2999999999999998E-4</v>
      </c>
      <c r="F188" s="26"/>
      <c r="G188" s="82">
        <f t="shared" si="17"/>
        <v>93725</v>
      </c>
      <c r="H188" s="146">
        <f t="shared" si="14"/>
        <v>15913</v>
      </c>
      <c r="I188" s="146">
        <f t="shared" si="18"/>
        <v>77812</v>
      </c>
      <c r="J188" s="146"/>
      <c r="K188" s="25"/>
      <c r="L188" s="84">
        <f t="shared" si="13"/>
        <v>15912</v>
      </c>
      <c r="M188" s="84">
        <f t="shared" si="13"/>
        <v>15912</v>
      </c>
      <c r="N188" s="84">
        <f t="shared" si="13"/>
        <v>15912</v>
      </c>
      <c r="O188" s="84">
        <f t="shared" si="13"/>
        <v>15912</v>
      </c>
      <c r="P188" s="85">
        <f t="shared" si="15"/>
        <v>14164</v>
      </c>
      <c r="Q188" s="85">
        <f t="shared" si="16"/>
        <v>0</v>
      </c>
    </row>
    <row r="189" spans="1:17">
      <c r="A189" s="164">
        <v>12151</v>
      </c>
      <c r="B189" s="168" t="s">
        <v>181</v>
      </c>
      <c r="C189" s="57">
        <f>VLOOKUP(A189,'Contribution Allocation_Report'!$A$9:$D$311,4,FALSE)</f>
        <v>1.6220841590182711E-4</v>
      </c>
      <c r="E189" s="81">
        <f>VLOOKUP(A189,Contributions_21!$A$9:$D$310,4,FALSE)</f>
        <v>1.752E-4</v>
      </c>
      <c r="F189" s="26"/>
      <c r="G189" s="82">
        <f t="shared" si="17"/>
        <v>-57061</v>
      </c>
      <c r="H189" s="146">
        <f t="shared" si="14"/>
        <v>-9688</v>
      </c>
      <c r="I189" s="146">
        <f t="shared" si="18"/>
        <v>-47373</v>
      </c>
      <c r="J189" s="146"/>
      <c r="K189" s="25"/>
      <c r="L189" s="84">
        <f t="shared" si="13"/>
        <v>-9688</v>
      </c>
      <c r="M189" s="84">
        <f t="shared" si="13"/>
        <v>-9688</v>
      </c>
      <c r="N189" s="84">
        <f t="shared" si="13"/>
        <v>-9688</v>
      </c>
      <c r="O189" s="84">
        <f t="shared" si="13"/>
        <v>-9688</v>
      </c>
      <c r="P189" s="85">
        <f t="shared" si="15"/>
        <v>-8621</v>
      </c>
      <c r="Q189" s="85">
        <f t="shared" si="16"/>
        <v>0</v>
      </c>
    </row>
    <row r="190" spans="1:17">
      <c r="A190" s="166">
        <v>32110</v>
      </c>
      <c r="B190" s="167" t="s">
        <v>182</v>
      </c>
      <c r="C190" s="56">
        <f>VLOOKUP(A190,'Contribution Allocation_Report'!$A$9:$D$311,4,FALSE)</f>
        <v>1.9461367651034905E-3</v>
      </c>
      <c r="E190" s="81">
        <f>VLOOKUP(A190,Contributions_21!$A$9:$D$310,4,FALSE)</f>
        <v>2.0251000000000002E-3</v>
      </c>
      <c r="F190" s="26"/>
      <c r="G190" s="82">
        <f t="shared" si="17"/>
        <v>-346816</v>
      </c>
      <c r="H190" s="146">
        <f t="shared" si="14"/>
        <v>-58882</v>
      </c>
      <c r="I190" s="146">
        <f t="shared" si="18"/>
        <v>-287934</v>
      </c>
      <c r="J190" s="146"/>
      <c r="K190" s="25"/>
      <c r="L190" s="84">
        <f t="shared" si="13"/>
        <v>-58882</v>
      </c>
      <c r="M190" s="84">
        <f t="shared" si="13"/>
        <v>-58882</v>
      </c>
      <c r="N190" s="84">
        <f t="shared" si="13"/>
        <v>-58882</v>
      </c>
      <c r="O190" s="84">
        <f t="shared" si="13"/>
        <v>-58882</v>
      </c>
      <c r="P190" s="85">
        <f t="shared" si="15"/>
        <v>-52406</v>
      </c>
      <c r="Q190" s="85">
        <f t="shared" si="16"/>
        <v>0</v>
      </c>
    </row>
    <row r="191" spans="1:17">
      <c r="A191" s="164">
        <v>2870</v>
      </c>
      <c r="B191" s="168" t="s">
        <v>184</v>
      </c>
      <c r="C191" s="57">
        <f>VLOOKUP(A191,'Contribution Allocation_Report'!$A$9:$D$311,4,FALSE)</f>
        <v>3.4046245129145482E-4</v>
      </c>
      <c r="E191" s="81">
        <f>VLOOKUP(A191,Contributions_21!$A$9:$D$310,4,FALSE)</f>
        <v>3.2229999999999997E-4</v>
      </c>
      <c r="F191" s="26"/>
      <c r="G191" s="82">
        <f t="shared" si="17"/>
        <v>79772</v>
      </c>
      <c r="H191" s="146">
        <f t="shared" si="14"/>
        <v>13544</v>
      </c>
      <c r="I191" s="146">
        <f t="shared" si="18"/>
        <v>66228</v>
      </c>
      <c r="J191" s="146"/>
      <c r="K191" s="25"/>
      <c r="L191" s="84">
        <f t="shared" si="13"/>
        <v>13544</v>
      </c>
      <c r="M191" s="84">
        <f t="shared" si="13"/>
        <v>13544</v>
      </c>
      <c r="N191" s="84">
        <f t="shared" si="13"/>
        <v>13544</v>
      </c>
      <c r="O191" s="84">
        <f t="shared" si="13"/>
        <v>13544</v>
      </c>
      <c r="P191" s="85">
        <f t="shared" si="15"/>
        <v>12052</v>
      </c>
      <c r="Q191" s="85">
        <f t="shared" si="16"/>
        <v>0</v>
      </c>
    </row>
    <row r="192" spans="1:17">
      <c r="A192" s="166">
        <v>29150</v>
      </c>
      <c r="B192" s="167" t="s">
        <v>185</v>
      </c>
      <c r="C192" s="56">
        <f>VLOOKUP(A192,'Contribution Allocation_Report'!$A$9:$D$311,4,FALSE)</f>
        <v>8.5917893797253736E-5</v>
      </c>
      <c r="E192" s="81">
        <f>VLOOKUP(A192,Contributions_21!$A$9:$D$310,4,FALSE)</f>
        <v>9.8400000000000007E-5</v>
      </c>
      <c r="F192" s="26"/>
      <c r="G192" s="82">
        <f t="shared" si="17"/>
        <v>-54823</v>
      </c>
      <c r="H192" s="146">
        <f t="shared" si="14"/>
        <v>-9308</v>
      </c>
      <c r="I192" s="146">
        <f t="shared" si="18"/>
        <v>-45515</v>
      </c>
      <c r="J192" s="146"/>
      <c r="K192" s="25"/>
      <c r="L192" s="84">
        <f t="shared" si="13"/>
        <v>-9308</v>
      </c>
      <c r="M192" s="84">
        <f t="shared" si="13"/>
        <v>-9308</v>
      </c>
      <c r="N192" s="84">
        <f t="shared" si="13"/>
        <v>-9308</v>
      </c>
      <c r="O192" s="84">
        <f t="shared" si="13"/>
        <v>-9308</v>
      </c>
      <c r="P192" s="85">
        <f t="shared" si="15"/>
        <v>-8283</v>
      </c>
      <c r="Q192" s="85">
        <f t="shared" si="16"/>
        <v>0</v>
      </c>
    </row>
    <row r="193" spans="1:17">
      <c r="A193" s="164">
        <v>32118</v>
      </c>
      <c r="B193" s="168" t="s">
        <v>187</v>
      </c>
      <c r="C193" s="57">
        <f>VLOOKUP(A193,'Contribution Allocation_Report'!$A$9:$D$311,4,FALSE)</f>
        <v>1.0320089633389883E-3</v>
      </c>
      <c r="E193" s="81">
        <f>VLOOKUP(A193,Contributions_21!$A$9:$D$310,4,FALSE)</f>
        <v>9.322E-4</v>
      </c>
      <c r="F193" s="26"/>
      <c r="G193" s="82">
        <f t="shared" si="17"/>
        <v>438373</v>
      </c>
      <c r="H193" s="146">
        <f t="shared" si="14"/>
        <v>74427</v>
      </c>
      <c r="I193" s="146">
        <f t="shared" si="18"/>
        <v>363946</v>
      </c>
      <c r="J193" s="146"/>
      <c r="K193" s="25"/>
      <c r="L193" s="84">
        <f t="shared" si="13"/>
        <v>74427</v>
      </c>
      <c r="M193" s="84">
        <f t="shared" si="13"/>
        <v>74427</v>
      </c>
      <c r="N193" s="84">
        <f t="shared" si="13"/>
        <v>74427</v>
      </c>
      <c r="O193" s="84">
        <f t="shared" si="13"/>
        <v>74427</v>
      </c>
      <c r="P193" s="85">
        <f t="shared" si="15"/>
        <v>66238</v>
      </c>
      <c r="Q193" s="85">
        <f t="shared" si="16"/>
        <v>0</v>
      </c>
    </row>
    <row r="194" spans="1:17">
      <c r="A194" s="166">
        <v>12039</v>
      </c>
      <c r="B194" s="167" t="s">
        <v>188</v>
      </c>
      <c r="C194" s="56">
        <f>VLOOKUP(A194,'Contribution Allocation_Report'!$A$9:$D$311,4,FALSE)</f>
        <v>8.6932803839702964E-4</v>
      </c>
      <c r="E194" s="81">
        <f>VLOOKUP(A194,Contributions_21!$A$9:$D$310,4,FALSE)</f>
        <v>8.7540000000000003E-4</v>
      </c>
      <c r="F194" s="26"/>
      <c r="G194" s="82">
        <f t="shared" si="17"/>
        <v>-26669</v>
      </c>
      <c r="H194" s="146">
        <f t="shared" si="14"/>
        <v>-4528</v>
      </c>
      <c r="I194" s="146">
        <f t="shared" si="18"/>
        <v>-22141</v>
      </c>
      <c r="J194" s="146"/>
      <c r="K194" s="25"/>
      <c r="L194" s="84">
        <f t="shared" si="13"/>
        <v>-4528</v>
      </c>
      <c r="M194" s="84">
        <f t="shared" si="13"/>
        <v>-4528</v>
      </c>
      <c r="N194" s="84">
        <f t="shared" si="13"/>
        <v>-4528</v>
      </c>
      <c r="O194" s="84">
        <f t="shared" si="13"/>
        <v>-4528</v>
      </c>
      <c r="P194" s="85">
        <f t="shared" si="15"/>
        <v>-4029</v>
      </c>
      <c r="Q194" s="85">
        <f t="shared" si="16"/>
        <v>0</v>
      </c>
    </row>
    <row r="195" spans="1:17">
      <c r="A195" s="164">
        <v>12150</v>
      </c>
      <c r="B195" s="168" t="s">
        <v>189</v>
      </c>
      <c r="C195" s="57">
        <f>VLOOKUP(A195,'Contribution Allocation_Report'!$A$9:$D$311,4,FALSE)</f>
        <v>1.6252342192858149E-4</v>
      </c>
      <c r="E195" s="81">
        <f>VLOOKUP(A195,Contributions_21!$A$9:$D$310,4,FALSE)</f>
        <v>1.6980000000000001E-4</v>
      </c>
      <c r="F195" s="26"/>
      <c r="G195" s="82">
        <f t="shared" si="17"/>
        <v>-31960</v>
      </c>
      <c r="H195" s="146">
        <f t="shared" si="14"/>
        <v>-5426</v>
      </c>
      <c r="I195" s="146">
        <f t="shared" si="18"/>
        <v>-26534</v>
      </c>
      <c r="J195" s="146"/>
      <c r="K195" s="25"/>
      <c r="L195" s="84">
        <f t="shared" si="13"/>
        <v>-5426</v>
      </c>
      <c r="M195" s="84">
        <f t="shared" si="13"/>
        <v>-5426</v>
      </c>
      <c r="N195" s="84">
        <f t="shared" si="13"/>
        <v>-5426</v>
      </c>
      <c r="O195" s="84">
        <f t="shared" si="13"/>
        <v>-5426</v>
      </c>
      <c r="P195" s="85">
        <f t="shared" si="15"/>
        <v>-4830</v>
      </c>
      <c r="Q195" s="85">
        <f t="shared" si="16"/>
        <v>0</v>
      </c>
    </row>
    <row r="196" spans="1:17">
      <c r="A196" s="166">
        <v>20060</v>
      </c>
      <c r="B196" s="167" t="s">
        <v>190</v>
      </c>
      <c r="C196" s="56">
        <f>VLOOKUP(A196,'Contribution Allocation_Report'!$A$9:$D$311,4,FALSE)</f>
        <v>6.6313690600962392E-4</v>
      </c>
      <c r="E196" s="81">
        <f>VLOOKUP(A196,Contributions_21!$A$9:$D$310,4,FALSE)</f>
        <v>6.2120000000000003E-4</v>
      </c>
      <c r="F196" s="26"/>
      <c r="G196" s="82">
        <f t="shared" si="17"/>
        <v>184192</v>
      </c>
      <c r="H196" s="146">
        <f t="shared" si="14"/>
        <v>31272</v>
      </c>
      <c r="I196" s="146">
        <f t="shared" si="18"/>
        <v>152920</v>
      </c>
      <c r="J196" s="146"/>
      <c r="K196" s="25"/>
      <c r="L196" s="84">
        <f t="shared" si="13"/>
        <v>31272</v>
      </c>
      <c r="M196" s="84">
        <f t="shared" si="13"/>
        <v>31272</v>
      </c>
      <c r="N196" s="84">
        <f t="shared" si="13"/>
        <v>31272</v>
      </c>
      <c r="O196" s="84">
        <f t="shared" si="13"/>
        <v>31272</v>
      </c>
      <c r="P196" s="85">
        <f t="shared" si="15"/>
        <v>27832</v>
      </c>
      <c r="Q196" s="85">
        <f t="shared" si="16"/>
        <v>0</v>
      </c>
    </row>
    <row r="197" spans="1:17">
      <c r="A197" s="164">
        <v>1001</v>
      </c>
      <c r="B197" s="165" t="s">
        <v>191</v>
      </c>
      <c r="C197" s="66">
        <f>VLOOKUP(A197,'Contribution Allocation_Report'!$A$9:$D$311,4,FALSE)</f>
        <v>1.937395347861057E-3</v>
      </c>
      <c r="E197" s="81">
        <f>VLOOKUP(A197,Contributions_21!$A$9:$D$310,4,FALSE)</f>
        <v>1.7228E-3</v>
      </c>
      <c r="F197" s="26"/>
      <c r="G197" s="82">
        <f t="shared" si="17"/>
        <v>942528</v>
      </c>
      <c r="H197" s="146">
        <f t="shared" si="14"/>
        <v>160022</v>
      </c>
      <c r="I197" s="146">
        <f t="shared" si="18"/>
        <v>782506</v>
      </c>
      <c r="J197" s="146"/>
      <c r="K197" s="25"/>
      <c r="L197" s="84">
        <f t="shared" si="13"/>
        <v>160022</v>
      </c>
      <c r="M197" s="84">
        <f t="shared" si="13"/>
        <v>160022</v>
      </c>
      <c r="N197" s="84">
        <f t="shared" si="13"/>
        <v>160022</v>
      </c>
      <c r="O197" s="84">
        <f t="shared" ref="M197:O216" si="19">ROUND($I197/4.89,0)</f>
        <v>160022</v>
      </c>
      <c r="P197" s="85">
        <f t="shared" si="15"/>
        <v>142418</v>
      </c>
      <c r="Q197" s="85">
        <f t="shared" ref="Q197:Q262" si="20">+I197-SUM(L197:P197)</f>
        <v>0</v>
      </c>
    </row>
    <row r="198" spans="1:17">
      <c r="A198" s="166">
        <v>11035</v>
      </c>
      <c r="B198" s="167" t="s">
        <v>192</v>
      </c>
      <c r="C198" s="56">
        <f>VLOOKUP(A198,'Contribution Allocation_Report'!$A$9:$D$311,4,FALSE)</f>
        <v>3.9042043834703029E-3</v>
      </c>
      <c r="E198" s="81">
        <f>VLOOKUP(A198,Contributions_21!$A$9:$D$310,4,FALSE)</f>
        <v>3.9798999999999998E-3</v>
      </c>
      <c r="F198" s="26"/>
      <c r="G198" s="82">
        <f t="shared" si="17"/>
        <v>-332464</v>
      </c>
      <c r="H198" s="146">
        <f t="shared" si="14"/>
        <v>-56446</v>
      </c>
      <c r="I198" s="146">
        <f t="shared" si="18"/>
        <v>-276018</v>
      </c>
      <c r="J198" s="146"/>
      <c r="K198" s="25"/>
      <c r="L198" s="84">
        <f t="shared" ref="L198:O261" si="21">ROUND($I198/4.89,0)</f>
        <v>-56445</v>
      </c>
      <c r="M198" s="84">
        <f t="shared" si="19"/>
        <v>-56445</v>
      </c>
      <c r="N198" s="84">
        <f t="shared" si="19"/>
        <v>-56445</v>
      </c>
      <c r="O198" s="84">
        <f t="shared" si="19"/>
        <v>-56445</v>
      </c>
      <c r="P198" s="85">
        <f t="shared" ref="P198:P263" si="22">I198-SUM(L198:O198)</f>
        <v>-50238</v>
      </c>
      <c r="Q198" s="85">
        <f t="shared" si="20"/>
        <v>0</v>
      </c>
    </row>
    <row r="199" spans="1:17">
      <c r="A199" s="164">
        <v>2320</v>
      </c>
      <c r="B199" s="168" t="s">
        <v>193</v>
      </c>
      <c r="C199" s="57">
        <f>VLOOKUP(A199,'Contribution Allocation_Report'!$A$9:$D$311,4,FALSE)</f>
        <v>4.5352992701960061E-4</v>
      </c>
      <c r="E199" s="81">
        <f>VLOOKUP(A199,Contributions_21!$A$9:$D$310,4,FALSE)</f>
        <v>4.7810000000000002E-4</v>
      </c>
      <c r="F199" s="26"/>
      <c r="G199" s="82">
        <f t="shared" si="17"/>
        <v>-107915</v>
      </c>
      <c r="H199" s="146">
        <f t="shared" ref="H199:H262" si="23">ROUND(G199/5.89,0)</f>
        <v>-18322</v>
      </c>
      <c r="I199" s="146">
        <f t="shared" si="18"/>
        <v>-89593</v>
      </c>
      <c r="J199" s="146"/>
      <c r="K199" s="25"/>
      <c r="L199" s="84">
        <f t="shared" si="21"/>
        <v>-18322</v>
      </c>
      <c r="M199" s="84">
        <f t="shared" si="19"/>
        <v>-18322</v>
      </c>
      <c r="N199" s="84">
        <f t="shared" si="19"/>
        <v>-18322</v>
      </c>
      <c r="O199" s="84">
        <f t="shared" si="19"/>
        <v>-18322</v>
      </c>
      <c r="P199" s="85">
        <f t="shared" si="22"/>
        <v>-16305</v>
      </c>
      <c r="Q199" s="85">
        <f t="shared" si="20"/>
        <v>0</v>
      </c>
    </row>
    <row r="200" spans="1:17">
      <c r="A200" s="166">
        <v>28084</v>
      </c>
      <c r="B200" s="167" t="s">
        <v>194</v>
      </c>
      <c r="C200" s="56">
        <f>VLOOKUP(A200,'Contribution Allocation_Report'!$A$9:$D$311,4,FALSE)</f>
        <v>3.8852055824816802E-4</v>
      </c>
      <c r="E200" s="81">
        <f>VLOOKUP(A200,Contributions_21!$A$9:$D$310,4,FALSE)</f>
        <v>3.7800000000000003E-4</v>
      </c>
      <c r="F200" s="26"/>
      <c r="G200" s="82">
        <f t="shared" ref="G200:G265" si="24">ROUND((E200-C200)*$G$326,0)</f>
        <v>46208</v>
      </c>
      <c r="H200" s="146">
        <f t="shared" si="23"/>
        <v>7845</v>
      </c>
      <c r="I200" s="146">
        <f t="shared" ref="I200:I265" si="25">G200-H200</f>
        <v>38363</v>
      </c>
      <c r="J200" s="146"/>
      <c r="K200" s="25"/>
      <c r="L200" s="84">
        <f t="shared" si="21"/>
        <v>7845</v>
      </c>
      <c r="M200" s="84">
        <f t="shared" si="19"/>
        <v>7845</v>
      </c>
      <c r="N200" s="84">
        <f t="shared" si="19"/>
        <v>7845</v>
      </c>
      <c r="O200" s="84">
        <f t="shared" si="19"/>
        <v>7845</v>
      </c>
      <c r="P200" s="85">
        <f t="shared" si="22"/>
        <v>6983</v>
      </c>
      <c r="Q200" s="85">
        <f t="shared" si="20"/>
        <v>0</v>
      </c>
    </row>
    <row r="201" spans="1:17">
      <c r="A201" s="164">
        <v>20125</v>
      </c>
      <c r="B201" s="168" t="s">
        <v>195</v>
      </c>
      <c r="C201" s="57">
        <f>VLOOKUP(A201,'Contribution Allocation_Report'!$A$9:$D$311,4,FALSE)</f>
        <v>4.8453833277823364E-4</v>
      </c>
      <c r="E201" s="81">
        <f>VLOOKUP(A201,Contributions_21!$A$9:$D$310,4,FALSE)</f>
        <v>4.4190000000000001E-4</v>
      </c>
      <c r="F201" s="26"/>
      <c r="G201" s="82">
        <f>ROUND((E201-C201)*$G$326,0)</f>
        <v>187273</v>
      </c>
      <c r="H201" s="146">
        <f t="shared" si="23"/>
        <v>31795</v>
      </c>
      <c r="I201" s="146">
        <f t="shared" si="25"/>
        <v>155478</v>
      </c>
      <c r="J201" s="146"/>
      <c r="K201" s="25"/>
      <c r="L201" s="84">
        <f t="shared" si="21"/>
        <v>31795</v>
      </c>
      <c r="M201" s="84">
        <f t="shared" si="19"/>
        <v>31795</v>
      </c>
      <c r="N201" s="84">
        <f t="shared" si="19"/>
        <v>31795</v>
      </c>
      <c r="O201" s="84">
        <f t="shared" si="19"/>
        <v>31795</v>
      </c>
      <c r="P201" s="85">
        <f t="shared" si="22"/>
        <v>28298</v>
      </c>
      <c r="Q201" s="85">
        <f t="shared" si="20"/>
        <v>0</v>
      </c>
    </row>
    <row r="202" spans="1:17">
      <c r="A202" s="166">
        <v>7445</v>
      </c>
      <c r="B202" s="167" t="s">
        <v>428</v>
      </c>
      <c r="C202" s="56">
        <f>VLOOKUP(A202,'Contribution Allocation_Report'!$A$9:$D$311,4,FALSE)</f>
        <v>1.3051093445966887E-4</v>
      </c>
      <c r="E202" s="81">
        <f>VLOOKUP(A202,Contributions_21!$A$9:$D$310,4,FALSE)</f>
        <v>1.011E-4</v>
      </c>
      <c r="F202" s="26"/>
      <c r="G202" s="82">
        <f>ROUND((E202-C202)*$G$326,0)</f>
        <v>129176</v>
      </c>
      <c r="H202" s="146">
        <f t="shared" si="23"/>
        <v>21931</v>
      </c>
      <c r="I202" s="146">
        <f t="shared" si="25"/>
        <v>107245</v>
      </c>
      <c r="J202" s="146"/>
      <c r="K202" s="25"/>
      <c r="L202" s="84">
        <f t="shared" si="21"/>
        <v>21931</v>
      </c>
      <c r="M202" s="84">
        <f t="shared" si="19"/>
        <v>21931</v>
      </c>
      <c r="N202" s="84">
        <f t="shared" si="19"/>
        <v>21931</v>
      </c>
      <c r="O202" s="84">
        <f t="shared" si="19"/>
        <v>21931</v>
      </c>
      <c r="P202" s="85">
        <f>I202-SUM(L202:O202)</f>
        <v>19521</v>
      </c>
      <c r="Q202" s="85">
        <f>+I202-SUM(L202:P202)</f>
        <v>0</v>
      </c>
    </row>
    <row r="203" spans="1:17">
      <c r="A203" s="164">
        <v>9029</v>
      </c>
      <c r="B203" s="168" t="s">
        <v>197</v>
      </c>
      <c r="C203" s="57">
        <f>VLOOKUP(A203,'Contribution Allocation_Report'!$A$9:$D$311,4,FALSE)</f>
        <v>1.1657487095728895E-3</v>
      </c>
      <c r="E203" s="81">
        <f>VLOOKUP(A203,Contributions_21!$A$9:$D$310,4,FALSE)</f>
        <v>1.1731999999999999E-3</v>
      </c>
      <c r="F203" s="26"/>
      <c r="G203" s="82">
        <f>ROUND((E203-C203)*$G$326,0)</f>
        <v>-32727</v>
      </c>
      <c r="H203" s="146">
        <f t="shared" si="23"/>
        <v>-5556</v>
      </c>
      <c r="I203" s="146">
        <f t="shared" si="25"/>
        <v>-27171</v>
      </c>
      <c r="J203" s="146"/>
      <c r="K203" s="25"/>
      <c r="L203" s="84">
        <f t="shared" si="21"/>
        <v>-5556</v>
      </c>
      <c r="M203" s="84">
        <f t="shared" si="19"/>
        <v>-5556</v>
      </c>
      <c r="N203" s="84">
        <f t="shared" si="19"/>
        <v>-5556</v>
      </c>
      <c r="O203" s="84">
        <f t="shared" si="19"/>
        <v>-5556</v>
      </c>
      <c r="P203" s="85">
        <f t="shared" si="22"/>
        <v>-4947</v>
      </c>
      <c r="Q203" s="85">
        <f t="shared" si="20"/>
        <v>0</v>
      </c>
    </row>
    <row r="204" spans="1:17">
      <c r="A204" s="166">
        <v>2580</v>
      </c>
      <c r="B204" s="167" t="s">
        <v>198</v>
      </c>
      <c r="C204" s="56">
        <f>VLOOKUP(A204,'Contribution Allocation_Report'!$A$9:$D$311,4,FALSE)</f>
        <v>1.5280745479087646E-4</v>
      </c>
      <c r="E204" s="81">
        <f>VLOOKUP(A204,Contributions_21!$A$9:$D$310,4,FALSE)</f>
        <v>1.6990000000000001E-4</v>
      </c>
      <c r="F204" s="26"/>
      <c r="G204" s="82">
        <f t="shared" si="24"/>
        <v>-75072</v>
      </c>
      <c r="H204" s="146">
        <f t="shared" si="23"/>
        <v>-12746</v>
      </c>
      <c r="I204" s="146">
        <f t="shared" si="25"/>
        <v>-62326</v>
      </c>
      <c r="J204" s="146"/>
      <c r="K204" s="25"/>
      <c r="L204" s="84">
        <f t="shared" si="21"/>
        <v>-12746</v>
      </c>
      <c r="M204" s="84">
        <f t="shared" si="19"/>
        <v>-12746</v>
      </c>
      <c r="N204" s="84">
        <f t="shared" si="19"/>
        <v>-12746</v>
      </c>
      <c r="O204" s="84">
        <f t="shared" si="19"/>
        <v>-12746</v>
      </c>
      <c r="P204" s="85">
        <f t="shared" si="22"/>
        <v>-11342</v>
      </c>
      <c r="Q204" s="85">
        <f t="shared" si="20"/>
        <v>0</v>
      </c>
    </row>
    <row r="205" spans="1:17">
      <c r="A205" s="164">
        <v>20312</v>
      </c>
      <c r="B205" s="168" t="s">
        <v>199</v>
      </c>
      <c r="C205" s="57">
        <f>VLOOKUP(A205,'Contribution Allocation_Report'!$A$9:$D$311,4,FALSE)</f>
        <v>1.3003842541953734E-4</v>
      </c>
      <c r="E205" s="81">
        <f>VLOOKUP(A205,Contributions_21!$A$9:$D$310,4,FALSE)</f>
        <v>1.2860000000000001E-4</v>
      </c>
      <c r="F205" s="26"/>
      <c r="G205" s="82">
        <f t="shared" si="24"/>
        <v>6318</v>
      </c>
      <c r="H205" s="146">
        <f t="shared" si="23"/>
        <v>1073</v>
      </c>
      <c r="I205" s="146">
        <f t="shared" si="25"/>
        <v>5245</v>
      </c>
      <c r="J205" s="146"/>
      <c r="K205" s="25"/>
      <c r="L205" s="84">
        <f t="shared" si="21"/>
        <v>1073</v>
      </c>
      <c r="M205" s="84">
        <f t="shared" si="19"/>
        <v>1073</v>
      </c>
      <c r="N205" s="84">
        <f t="shared" si="19"/>
        <v>1073</v>
      </c>
      <c r="O205" s="84">
        <f t="shared" si="19"/>
        <v>1073</v>
      </c>
      <c r="P205" s="85">
        <f t="shared" si="22"/>
        <v>953</v>
      </c>
      <c r="Q205" s="85">
        <f t="shared" si="20"/>
        <v>0</v>
      </c>
    </row>
    <row r="206" spans="1:17">
      <c r="A206" s="166">
        <v>26150</v>
      </c>
      <c r="B206" s="167" t="s">
        <v>200</v>
      </c>
      <c r="C206" s="56">
        <f>VLOOKUP(A206,'Contribution Allocation_Report'!$A$9:$D$311,4,FALSE)</f>
        <v>8.9494196594749409E-4</v>
      </c>
      <c r="E206" s="81">
        <f>VLOOKUP(A206,Contributions_21!$A$9:$D$310,4,FALSE)</f>
        <v>8.4789999999999996E-4</v>
      </c>
      <c r="F206" s="26"/>
      <c r="G206" s="82">
        <f t="shared" si="24"/>
        <v>206614</v>
      </c>
      <c r="H206" s="146">
        <f t="shared" si="23"/>
        <v>35079</v>
      </c>
      <c r="I206" s="146">
        <f t="shared" si="25"/>
        <v>171535</v>
      </c>
      <c r="J206" s="146"/>
      <c r="K206" s="25"/>
      <c r="L206" s="84">
        <f t="shared" si="21"/>
        <v>35079</v>
      </c>
      <c r="M206" s="84">
        <f t="shared" si="19"/>
        <v>35079</v>
      </c>
      <c r="N206" s="84">
        <f t="shared" si="19"/>
        <v>35079</v>
      </c>
      <c r="O206" s="84">
        <f t="shared" si="19"/>
        <v>35079</v>
      </c>
      <c r="P206" s="85">
        <f t="shared" si="22"/>
        <v>31219</v>
      </c>
      <c r="Q206" s="85">
        <f t="shared" si="20"/>
        <v>0</v>
      </c>
    </row>
    <row r="207" spans="1:17">
      <c r="A207" s="164">
        <v>5016</v>
      </c>
      <c r="B207" s="168" t="s">
        <v>201</v>
      </c>
      <c r="C207" s="57">
        <f>VLOOKUP(A207,'Contribution Allocation_Report'!$A$9:$D$311,4,FALSE)</f>
        <v>9.817359702566584E-5</v>
      </c>
      <c r="E207" s="81">
        <f>VLOOKUP(A207,Contributions_21!$A$9:$D$310,4,FALSE)</f>
        <v>9.8300000000000004E-5</v>
      </c>
      <c r="F207" s="26"/>
      <c r="G207" s="82">
        <f t="shared" si="24"/>
        <v>-555</v>
      </c>
      <c r="H207" s="146">
        <f t="shared" si="23"/>
        <v>-94</v>
      </c>
      <c r="I207" s="146">
        <f t="shared" si="25"/>
        <v>-461</v>
      </c>
      <c r="J207" s="146"/>
      <c r="K207" s="25"/>
      <c r="L207" s="84">
        <f t="shared" si="21"/>
        <v>-94</v>
      </c>
      <c r="M207" s="84">
        <f t="shared" si="19"/>
        <v>-94</v>
      </c>
      <c r="N207" s="84">
        <f t="shared" si="19"/>
        <v>-94</v>
      </c>
      <c r="O207" s="84">
        <f t="shared" si="19"/>
        <v>-94</v>
      </c>
      <c r="P207" s="85">
        <f t="shared" si="22"/>
        <v>-85</v>
      </c>
      <c r="Q207" s="85">
        <f t="shared" si="20"/>
        <v>0</v>
      </c>
    </row>
    <row r="208" spans="1:17">
      <c r="A208" s="166">
        <v>6150</v>
      </c>
      <c r="B208" s="167" t="s">
        <v>202</v>
      </c>
      <c r="C208" s="56">
        <f>VLOOKUP(A208,'Contribution Allocation_Report'!$A$9:$D$311,4,FALSE)</f>
        <v>9.1991603750611389E-5</v>
      </c>
      <c r="E208" s="81">
        <f>VLOOKUP(A208,Contributions_21!$A$9:$D$310,4,FALSE)</f>
        <v>8.1600000000000005E-5</v>
      </c>
      <c r="F208" s="26"/>
      <c r="G208" s="82">
        <f t="shared" si="24"/>
        <v>45641</v>
      </c>
      <c r="H208" s="146">
        <f t="shared" si="23"/>
        <v>7749</v>
      </c>
      <c r="I208" s="146">
        <f t="shared" si="25"/>
        <v>37892</v>
      </c>
      <c r="J208" s="146"/>
      <c r="K208" s="25"/>
      <c r="L208" s="84">
        <f t="shared" si="21"/>
        <v>7749</v>
      </c>
      <c r="M208" s="84">
        <f t="shared" si="19"/>
        <v>7749</v>
      </c>
      <c r="N208" s="84">
        <f t="shared" si="19"/>
        <v>7749</v>
      </c>
      <c r="O208" s="84">
        <f t="shared" si="19"/>
        <v>7749</v>
      </c>
      <c r="P208" s="85">
        <f t="shared" si="22"/>
        <v>6896</v>
      </c>
      <c r="Q208" s="85">
        <f t="shared" si="20"/>
        <v>0</v>
      </c>
    </row>
    <row r="209" spans="1:17">
      <c r="A209" s="164">
        <v>4480</v>
      </c>
      <c r="B209" s="168" t="s">
        <v>203</v>
      </c>
      <c r="C209" s="57">
        <f>VLOOKUP(A209,'Contribution Allocation_Report'!$A$9:$D$311,4,FALSE)</f>
        <v>1.4868284462806144E-4</v>
      </c>
      <c r="E209" s="81">
        <f>VLOOKUP(A209,Contributions_21!$A$9:$D$310,4,FALSE)</f>
        <v>1.6750000000000001E-4</v>
      </c>
      <c r="F209" s="26"/>
      <c r="G209" s="82">
        <f t="shared" si="24"/>
        <v>-82647</v>
      </c>
      <c r="H209" s="146">
        <f t="shared" si="23"/>
        <v>-14032</v>
      </c>
      <c r="I209" s="146">
        <f t="shared" si="25"/>
        <v>-68615</v>
      </c>
      <c r="J209" s="146"/>
      <c r="K209" s="25"/>
      <c r="L209" s="84">
        <f t="shared" si="21"/>
        <v>-14032</v>
      </c>
      <c r="M209" s="84">
        <f t="shared" si="19"/>
        <v>-14032</v>
      </c>
      <c r="N209" s="84">
        <f t="shared" si="19"/>
        <v>-14032</v>
      </c>
      <c r="O209" s="84">
        <f t="shared" si="19"/>
        <v>-14032</v>
      </c>
      <c r="P209" s="85">
        <f t="shared" si="22"/>
        <v>-12487</v>
      </c>
      <c r="Q209" s="85">
        <f t="shared" si="20"/>
        <v>0</v>
      </c>
    </row>
    <row r="210" spans="1:17">
      <c r="A210" s="166">
        <v>28085</v>
      </c>
      <c r="B210" s="167" t="s">
        <v>204</v>
      </c>
      <c r="C210" s="56">
        <f>VLOOKUP(A210,'Contribution Allocation_Report'!$A$9:$D$311,4,FALSE)</f>
        <v>3.112653301866594E-4</v>
      </c>
      <c r="E210" s="81">
        <f>VLOOKUP(A210,Contributions_21!$A$9:$D$310,4,FALSE)</f>
        <v>3.0969999999999999E-4</v>
      </c>
      <c r="F210" s="26"/>
      <c r="G210" s="82">
        <f t="shared" si="24"/>
        <v>6875</v>
      </c>
      <c r="H210" s="146">
        <f t="shared" si="23"/>
        <v>1167</v>
      </c>
      <c r="I210" s="146">
        <f t="shared" si="25"/>
        <v>5708</v>
      </c>
      <c r="J210" s="146"/>
      <c r="K210" s="25"/>
      <c r="L210" s="84">
        <f t="shared" si="21"/>
        <v>1167</v>
      </c>
      <c r="M210" s="84">
        <f t="shared" si="19"/>
        <v>1167</v>
      </c>
      <c r="N210" s="84">
        <f t="shared" si="19"/>
        <v>1167</v>
      </c>
      <c r="O210" s="84">
        <f t="shared" si="19"/>
        <v>1167</v>
      </c>
      <c r="P210" s="85">
        <f t="shared" si="22"/>
        <v>1040</v>
      </c>
      <c r="Q210" s="85">
        <f t="shared" si="20"/>
        <v>0</v>
      </c>
    </row>
    <row r="211" spans="1:17">
      <c r="A211" s="164">
        <v>3240</v>
      </c>
      <c r="B211" s="168" t="s">
        <v>205</v>
      </c>
      <c r="C211" s="57">
        <f>VLOOKUP(A211,'Contribution Allocation_Report'!$A$9:$D$311,4,FALSE)</f>
        <v>1.8827910219108546E-3</v>
      </c>
      <c r="E211" s="81">
        <f>VLOOKUP(A211,Contributions_21!$A$9:$D$310,4,FALSE)</f>
        <v>2.0485999999999998E-3</v>
      </c>
      <c r="F211" s="26"/>
      <c r="G211" s="82">
        <f t="shared" si="24"/>
        <v>-728253</v>
      </c>
      <c r="H211" s="146">
        <f t="shared" si="23"/>
        <v>-123642</v>
      </c>
      <c r="I211" s="146">
        <f t="shared" si="25"/>
        <v>-604611</v>
      </c>
      <c r="J211" s="146"/>
      <c r="K211" s="25"/>
      <c r="L211" s="84">
        <f t="shared" si="21"/>
        <v>-123642</v>
      </c>
      <c r="M211" s="84">
        <f t="shared" si="19"/>
        <v>-123642</v>
      </c>
      <c r="N211" s="84">
        <f t="shared" si="19"/>
        <v>-123642</v>
      </c>
      <c r="O211" s="84">
        <f t="shared" si="19"/>
        <v>-123642</v>
      </c>
      <c r="P211" s="85">
        <f t="shared" si="22"/>
        <v>-110043</v>
      </c>
      <c r="Q211" s="85">
        <f t="shared" si="20"/>
        <v>0</v>
      </c>
    </row>
    <row r="212" spans="1:17">
      <c r="A212" s="166">
        <v>12326</v>
      </c>
      <c r="B212" s="167" t="s">
        <v>206</v>
      </c>
      <c r="C212" s="56">
        <f>VLOOKUP(A212,'Contribution Allocation_Report'!$A$9:$D$311,4,FALSE)</f>
        <v>1.1611909661232872E-4</v>
      </c>
      <c r="E212" s="81">
        <f>VLOOKUP(A212,Contributions_21!$A$9:$D$310,4,FALSE)</f>
        <v>1.093E-4</v>
      </c>
      <c r="F212" s="26"/>
      <c r="G212" s="82">
        <f t="shared" si="24"/>
        <v>29950</v>
      </c>
      <c r="H212" s="146">
        <f t="shared" si="23"/>
        <v>5085</v>
      </c>
      <c r="I212" s="146">
        <f t="shared" si="25"/>
        <v>24865</v>
      </c>
      <c r="J212" s="146"/>
      <c r="K212" s="25"/>
      <c r="L212" s="84">
        <f t="shared" si="21"/>
        <v>5085</v>
      </c>
      <c r="M212" s="84">
        <f t="shared" si="19"/>
        <v>5085</v>
      </c>
      <c r="N212" s="84">
        <f t="shared" si="19"/>
        <v>5085</v>
      </c>
      <c r="O212" s="84">
        <f t="shared" si="19"/>
        <v>5085</v>
      </c>
      <c r="P212" s="85">
        <f t="shared" si="22"/>
        <v>4525</v>
      </c>
      <c r="Q212" s="85">
        <f t="shared" si="20"/>
        <v>0</v>
      </c>
    </row>
    <row r="213" spans="1:17">
      <c r="A213" s="164">
        <v>2445</v>
      </c>
      <c r="B213" s="168" t="s">
        <v>533</v>
      </c>
      <c r="C213" s="57">
        <f>VLOOKUP(A213,'Contribution Allocation_Report'!$A$9:$D$311,4,FALSE)</f>
        <v>3.3075632809208589E-5</v>
      </c>
      <c r="E213" s="81">
        <v>0</v>
      </c>
      <c r="F213" s="26"/>
      <c r="G213" s="82">
        <f t="shared" si="24"/>
        <v>145272</v>
      </c>
      <c r="H213" s="146">
        <f t="shared" si="23"/>
        <v>24664</v>
      </c>
      <c r="I213" s="146">
        <f t="shared" si="25"/>
        <v>120608</v>
      </c>
      <c r="J213" s="146"/>
      <c r="K213" s="25"/>
      <c r="L213" s="84">
        <f t="shared" si="21"/>
        <v>24664</v>
      </c>
      <c r="M213" s="84">
        <f t="shared" si="19"/>
        <v>24664</v>
      </c>
      <c r="N213" s="84">
        <f t="shared" si="19"/>
        <v>24664</v>
      </c>
      <c r="O213" s="84">
        <f t="shared" si="19"/>
        <v>24664</v>
      </c>
      <c r="P213" s="85">
        <f t="shared" si="22"/>
        <v>21952</v>
      </c>
      <c r="Q213" s="85">
        <f t="shared" si="20"/>
        <v>0</v>
      </c>
    </row>
    <row r="214" spans="1:17">
      <c r="A214" s="166">
        <v>29123</v>
      </c>
      <c r="B214" s="167" t="s">
        <v>207</v>
      </c>
      <c r="C214" s="56">
        <f>VLOOKUP(A214,'Contribution Allocation_Report'!$A$9:$D$311,4,FALSE)</f>
        <v>2.2171472782524425E-2</v>
      </c>
      <c r="E214" s="81">
        <f>VLOOKUP(A214,Contributions_21!$A$9:$D$310,4,FALSE)</f>
        <v>2.23807E-2</v>
      </c>
      <c r="F214" s="26"/>
      <c r="G214" s="82">
        <f t="shared" si="24"/>
        <v>-918951</v>
      </c>
      <c r="H214" s="146">
        <f t="shared" si="23"/>
        <v>-156019</v>
      </c>
      <c r="I214" s="146">
        <f t="shared" si="25"/>
        <v>-762932</v>
      </c>
      <c r="J214" s="146"/>
      <c r="K214" s="25"/>
      <c r="L214" s="84">
        <f t="shared" si="21"/>
        <v>-156019</v>
      </c>
      <c r="M214" s="84">
        <f t="shared" si="19"/>
        <v>-156019</v>
      </c>
      <c r="N214" s="84">
        <f t="shared" si="19"/>
        <v>-156019</v>
      </c>
      <c r="O214" s="84">
        <f t="shared" si="19"/>
        <v>-156019</v>
      </c>
      <c r="P214" s="85">
        <f t="shared" si="22"/>
        <v>-138856</v>
      </c>
      <c r="Q214" s="85">
        <f t="shared" si="20"/>
        <v>0</v>
      </c>
    </row>
    <row r="215" spans="1:17">
      <c r="A215" s="164">
        <v>2318</v>
      </c>
      <c r="B215" s="168" t="s">
        <v>208</v>
      </c>
      <c r="C215" s="57">
        <f>VLOOKUP(A215,'Contribution Allocation_Report'!$A$9:$D$311,4,FALSE)</f>
        <v>5.2064589859495303E-4</v>
      </c>
      <c r="E215" s="81">
        <f>VLOOKUP(A215,Contributions_21!$A$9:$D$310,4,FALSE)</f>
        <v>5.0940000000000002E-4</v>
      </c>
      <c r="F215" s="26"/>
      <c r="G215" s="82">
        <f t="shared" si="24"/>
        <v>49393</v>
      </c>
      <c r="H215" s="146">
        <f t="shared" si="23"/>
        <v>8386</v>
      </c>
      <c r="I215" s="146">
        <f t="shared" si="25"/>
        <v>41007</v>
      </c>
      <c r="J215" s="146"/>
      <c r="K215" s="25"/>
      <c r="L215" s="84">
        <f t="shared" si="21"/>
        <v>8386</v>
      </c>
      <c r="M215" s="84">
        <f t="shared" si="19"/>
        <v>8386</v>
      </c>
      <c r="N215" s="84">
        <f t="shared" si="19"/>
        <v>8386</v>
      </c>
      <c r="O215" s="84">
        <f t="shared" si="19"/>
        <v>8386</v>
      </c>
      <c r="P215" s="85">
        <f t="shared" si="22"/>
        <v>7463</v>
      </c>
      <c r="Q215" s="85">
        <f t="shared" si="20"/>
        <v>0</v>
      </c>
    </row>
    <row r="216" spans="1:17">
      <c r="A216" s="166">
        <v>3250</v>
      </c>
      <c r="B216" s="167" t="s">
        <v>209</v>
      </c>
      <c r="C216" s="56">
        <f>VLOOKUP(A216,'Contribution Allocation_Report'!$A$9:$D$311,4,FALSE)</f>
        <v>7.0682430434512028E-4</v>
      </c>
      <c r="E216" s="81">
        <f>VLOOKUP(A216,Contributions_21!$A$9:$D$310,4,FALSE)</f>
        <v>6.8579999999999997E-4</v>
      </c>
      <c r="F216" s="26"/>
      <c r="G216" s="82">
        <f t="shared" si="24"/>
        <v>92341</v>
      </c>
      <c r="H216" s="146">
        <f t="shared" si="23"/>
        <v>15678</v>
      </c>
      <c r="I216" s="146">
        <f t="shared" si="25"/>
        <v>76663</v>
      </c>
      <c r="J216" s="146"/>
      <c r="K216" s="25"/>
      <c r="L216" s="84">
        <f t="shared" si="21"/>
        <v>15678</v>
      </c>
      <c r="M216" s="84">
        <f t="shared" si="19"/>
        <v>15678</v>
      </c>
      <c r="N216" s="84">
        <f t="shared" si="19"/>
        <v>15678</v>
      </c>
      <c r="O216" s="84">
        <f t="shared" si="19"/>
        <v>15678</v>
      </c>
      <c r="P216" s="85">
        <f t="shared" si="22"/>
        <v>13951</v>
      </c>
      <c r="Q216" s="85">
        <f t="shared" si="20"/>
        <v>0</v>
      </c>
    </row>
    <row r="217" spans="1:17">
      <c r="A217" s="164">
        <v>2313</v>
      </c>
      <c r="B217" s="168" t="s">
        <v>210</v>
      </c>
      <c r="C217" s="57">
        <f>VLOOKUP(A217,'Contribution Allocation_Report'!$A$9:$D$311,4,FALSE)</f>
        <v>8.7049946705902243E-5</v>
      </c>
      <c r="E217" s="81">
        <f>VLOOKUP(A217,Contributions_21!$A$9:$D$310,4,FALSE)</f>
        <v>7.0400000000000004E-5</v>
      </c>
      <c r="F217" s="26"/>
      <c r="G217" s="82">
        <f t="shared" si="24"/>
        <v>73129</v>
      </c>
      <c r="H217" s="146">
        <f t="shared" si="23"/>
        <v>12416</v>
      </c>
      <c r="I217" s="146">
        <f t="shared" si="25"/>
        <v>60713</v>
      </c>
      <c r="J217" s="146"/>
      <c r="K217" s="25"/>
      <c r="L217" s="84">
        <f t="shared" si="21"/>
        <v>12416</v>
      </c>
      <c r="M217" s="84">
        <f t="shared" si="21"/>
        <v>12416</v>
      </c>
      <c r="N217" s="84">
        <f t="shared" si="21"/>
        <v>12416</v>
      </c>
      <c r="O217" s="84">
        <f t="shared" si="21"/>
        <v>12416</v>
      </c>
      <c r="P217" s="85">
        <f t="shared" si="22"/>
        <v>11049</v>
      </c>
      <c r="Q217" s="85">
        <f t="shared" si="20"/>
        <v>0</v>
      </c>
    </row>
    <row r="218" spans="1:17">
      <c r="A218" s="166">
        <v>4011</v>
      </c>
      <c r="B218" s="167" t="s">
        <v>211</v>
      </c>
      <c r="C218" s="56">
        <f>VLOOKUP(A218,'Contribution Allocation_Report'!$A$9:$D$311,4,FALSE)</f>
        <v>1.3051969556478799E-2</v>
      </c>
      <c r="E218" s="81">
        <f>VLOOKUP(A218,Contributions_21!$A$9:$D$310,4,FALSE)</f>
        <v>1.26824E-2</v>
      </c>
      <c r="F218" s="26"/>
      <c r="G218" s="82">
        <f t="shared" si="24"/>
        <v>1623193</v>
      </c>
      <c r="H218" s="146">
        <f t="shared" si="23"/>
        <v>275585</v>
      </c>
      <c r="I218" s="146">
        <f t="shared" si="25"/>
        <v>1347608</v>
      </c>
      <c r="J218" s="146"/>
      <c r="K218" s="25"/>
      <c r="L218" s="84">
        <f t="shared" si="21"/>
        <v>275584</v>
      </c>
      <c r="M218" s="84">
        <f t="shared" si="21"/>
        <v>275584</v>
      </c>
      <c r="N218" s="84">
        <f t="shared" si="21"/>
        <v>275584</v>
      </c>
      <c r="O218" s="84">
        <f t="shared" si="21"/>
        <v>275584</v>
      </c>
      <c r="P218" s="85">
        <f t="shared" si="22"/>
        <v>245272</v>
      </c>
      <c r="Q218" s="85">
        <f t="shared" si="20"/>
        <v>0</v>
      </c>
    </row>
    <row r="219" spans="1:17">
      <c r="A219" s="164">
        <v>31092</v>
      </c>
      <c r="B219" s="168" t="s">
        <v>212</v>
      </c>
      <c r="C219" s="57">
        <f>VLOOKUP(A219,'Contribution Allocation_Report'!$A$9:$D$311,4,FALSE)</f>
        <v>2.2436304255579826E-4</v>
      </c>
      <c r="E219" s="81">
        <f>VLOOKUP(A219,Contributions_21!$A$9:$D$310,4,FALSE)</f>
        <v>2.042E-4</v>
      </c>
      <c r="F219" s="26"/>
      <c r="G219" s="82">
        <f t="shared" si="24"/>
        <v>88558</v>
      </c>
      <c r="H219" s="146">
        <f t="shared" si="23"/>
        <v>15035</v>
      </c>
      <c r="I219" s="146">
        <f t="shared" si="25"/>
        <v>73523</v>
      </c>
      <c r="J219" s="146"/>
      <c r="K219" s="25"/>
      <c r="L219" s="84">
        <f t="shared" si="21"/>
        <v>15035</v>
      </c>
      <c r="M219" s="84">
        <f t="shared" si="21"/>
        <v>15035</v>
      </c>
      <c r="N219" s="84">
        <f t="shared" si="21"/>
        <v>15035</v>
      </c>
      <c r="O219" s="84">
        <f t="shared" si="21"/>
        <v>15035</v>
      </c>
      <c r="P219" s="85">
        <f t="shared" si="22"/>
        <v>13383</v>
      </c>
      <c r="Q219" s="85">
        <f t="shared" si="20"/>
        <v>0</v>
      </c>
    </row>
    <row r="220" spans="1:17">
      <c r="A220" s="166">
        <v>26081</v>
      </c>
      <c r="B220" s="167" t="s">
        <v>213</v>
      </c>
      <c r="C220" s="56">
        <f>VLOOKUP(A220,'Contribution Allocation_Report'!$A$9:$D$311,4,FALSE)</f>
        <v>2.1335259752689952E-3</v>
      </c>
      <c r="E220" s="81">
        <f>VLOOKUP(A220,Contributions_21!$A$9:$D$310,4,FALSE)</f>
        <v>2.2295000000000001E-3</v>
      </c>
      <c r="F220" s="26"/>
      <c r="G220" s="82">
        <f t="shared" si="24"/>
        <v>-421529</v>
      </c>
      <c r="H220" s="146">
        <f t="shared" si="23"/>
        <v>-71567</v>
      </c>
      <c r="I220" s="146">
        <f t="shared" si="25"/>
        <v>-349962</v>
      </c>
      <c r="J220" s="146"/>
      <c r="K220" s="25"/>
      <c r="L220" s="84">
        <f t="shared" si="21"/>
        <v>-71567</v>
      </c>
      <c r="M220" s="84">
        <f t="shared" si="21"/>
        <v>-71567</v>
      </c>
      <c r="N220" s="84">
        <f t="shared" si="21"/>
        <v>-71567</v>
      </c>
      <c r="O220" s="84">
        <f t="shared" si="21"/>
        <v>-71567</v>
      </c>
      <c r="P220" s="85">
        <f t="shared" si="22"/>
        <v>-63694</v>
      </c>
      <c r="Q220" s="85">
        <f t="shared" si="20"/>
        <v>0</v>
      </c>
    </row>
    <row r="221" spans="1:17">
      <c r="A221" s="164">
        <v>29305</v>
      </c>
      <c r="B221" s="168" t="s">
        <v>214</v>
      </c>
      <c r="C221" s="57">
        <f>VLOOKUP(A221,'Contribution Allocation_Report'!$A$9:$D$311,4,FALSE)</f>
        <v>1.5614454988680554E-4</v>
      </c>
      <c r="E221" s="81">
        <f>VLOOKUP(A221,Contributions_21!$A$9:$D$310,4,FALSE)</f>
        <v>1.8129999999999999E-4</v>
      </c>
      <c r="F221" s="26"/>
      <c r="G221" s="82">
        <f t="shared" si="24"/>
        <v>-110486</v>
      </c>
      <c r="H221" s="146">
        <f t="shared" si="23"/>
        <v>-18758</v>
      </c>
      <c r="I221" s="146">
        <f t="shared" si="25"/>
        <v>-91728</v>
      </c>
      <c r="J221" s="146"/>
      <c r="K221" s="25"/>
      <c r="L221" s="84">
        <f t="shared" si="21"/>
        <v>-18758</v>
      </c>
      <c r="M221" s="84">
        <f t="shared" si="21"/>
        <v>-18758</v>
      </c>
      <c r="N221" s="84">
        <f t="shared" si="21"/>
        <v>-18758</v>
      </c>
      <c r="O221" s="84">
        <f t="shared" si="21"/>
        <v>-18758</v>
      </c>
      <c r="P221" s="85">
        <f t="shared" si="22"/>
        <v>-16696</v>
      </c>
      <c r="Q221" s="85">
        <f t="shared" si="20"/>
        <v>0</v>
      </c>
    </row>
    <row r="222" spans="1:17">
      <c r="A222" s="166">
        <v>10032</v>
      </c>
      <c r="B222" s="167" t="s">
        <v>215</v>
      </c>
      <c r="C222" s="56">
        <f>VLOOKUP(A222,'Contribution Allocation_Report'!$A$9:$D$311,4,FALSE)</f>
        <v>2.4423795405633162E-4</v>
      </c>
      <c r="E222" s="81">
        <f>VLOOKUP(A222,Contributions_21!$A$9:$D$310,4,FALSE)</f>
        <v>2.565E-4</v>
      </c>
      <c r="F222" s="26"/>
      <c r="G222" s="82">
        <f t="shared" si="24"/>
        <v>-53856</v>
      </c>
      <c r="H222" s="146">
        <f t="shared" si="23"/>
        <v>-9144</v>
      </c>
      <c r="I222" s="146">
        <f t="shared" si="25"/>
        <v>-44712</v>
      </c>
      <c r="J222" s="146"/>
      <c r="K222" s="25"/>
      <c r="L222" s="84">
        <f t="shared" si="21"/>
        <v>-9144</v>
      </c>
      <c r="M222" s="84">
        <f t="shared" si="21"/>
        <v>-9144</v>
      </c>
      <c r="N222" s="84">
        <f t="shared" si="21"/>
        <v>-9144</v>
      </c>
      <c r="O222" s="84">
        <f t="shared" si="21"/>
        <v>-9144</v>
      </c>
      <c r="P222" s="85">
        <f t="shared" si="22"/>
        <v>-8136</v>
      </c>
      <c r="Q222" s="85">
        <f t="shared" si="20"/>
        <v>0</v>
      </c>
    </row>
    <row r="223" spans="1:17">
      <c r="A223" s="164">
        <v>32107</v>
      </c>
      <c r="B223" s="168" t="s">
        <v>216</v>
      </c>
      <c r="C223" s="57">
        <f>VLOOKUP(A223,'Contribution Allocation_Report'!$A$9:$D$311,4,FALSE)</f>
        <v>2.9919666178663266E-4</v>
      </c>
      <c r="E223" s="81">
        <f>VLOOKUP(A223,Contributions_21!$A$9:$D$310,4,FALSE)</f>
        <v>3.2539999999999999E-4</v>
      </c>
      <c r="F223" s="26"/>
      <c r="G223" s="82">
        <f t="shared" si="24"/>
        <v>-115088</v>
      </c>
      <c r="H223" s="146">
        <f t="shared" si="23"/>
        <v>-19540</v>
      </c>
      <c r="I223" s="146">
        <f t="shared" si="25"/>
        <v>-95548</v>
      </c>
      <c r="J223" s="146"/>
      <c r="K223" s="25"/>
      <c r="L223" s="84">
        <f t="shared" si="21"/>
        <v>-19539</v>
      </c>
      <c r="M223" s="84">
        <f t="shared" si="21"/>
        <v>-19539</v>
      </c>
      <c r="N223" s="84">
        <f t="shared" si="21"/>
        <v>-19539</v>
      </c>
      <c r="O223" s="84">
        <f t="shared" si="21"/>
        <v>-19539</v>
      </c>
      <c r="P223" s="85">
        <f t="shared" si="22"/>
        <v>-17392</v>
      </c>
      <c r="Q223" s="85">
        <f t="shared" si="20"/>
        <v>0</v>
      </c>
    </row>
    <row r="224" spans="1:17">
      <c r="A224" s="166">
        <v>3260</v>
      </c>
      <c r="B224" s="167" t="s">
        <v>217</v>
      </c>
      <c r="C224" s="56">
        <f>VLOOKUP(A224,'Contribution Allocation_Report'!$A$9:$D$311,4,FALSE)</f>
        <v>5.6311757054594421E-3</v>
      </c>
      <c r="E224" s="81">
        <f>VLOOKUP(A224,Contributions_21!$A$9:$D$310,4,FALSE)</f>
        <v>6.0615E-3</v>
      </c>
      <c r="F224" s="26"/>
      <c r="G224" s="82">
        <f t="shared" si="24"/>
        <v>-1890035</v>
      </c>
      <c r="H224" s="146">
        <f t="shared" si="23"/>
        <v>-320889</v>
      </c>
      <c r="I224" s="146">
        <f t="shared" si="25"/>
        <v>-1569146</v>
      </c>
      <c r="J224" s="146"/>
      <c r="K224" s="25"/>
      <c r="L224" s="84">
        <f t="shared" si="21"/>
        <v>-320889</v>
      </c>
      <c r="M224" s="84">
        <f t="shared" si="21"/>
        <v>-320889</v>
      </c>
      <c r="N224" s="84">
        <f t="shared" si="21"/>
        <v>-320889</v>
      </c>
      <c r="O224" s="84">
        <f t="shared" si="21"/>
        <v>-320889</v>
      </c>
      <c r="P224" s="85">
        <f t="shared" si="22"/>
        <v>-285590</v>
      </c>
      <c r="Q224" s="85">
        <f t="shared" si="20"/>
        <v>0</v>
      </c>
    </row>
    <row r="225" spans="1:17">
      <c r="A225" s="164">
        <v>4390</v>
      </c>
      <c r="B225" s="168" t="s">
        <v>218</v>
      </c>
      <c r="C225" s="57">
        <f>VLOOKUP(A225,'Contribution Allocation_Report'!$A$9:$D$311,4,FALSE)</f>
        <v>5.9004566386427463E-5</v>
      </c>
      <c r="E225" s="81">
        <f>VLOOKUP(A225,Contributions_21!$A$9:$D$310,4,FALSE)</f>
        <v>6.19E-5</v>
      </c>
      <c r="F225" s="26"/>
      <c r="G225" s="82">
        <f t="shared" si="24"/>
        <v>-12717</v>
      </c>
      <c r="H225" s="146">
        <f t="shared" si="23"/>
        <v>-2159</v>
      </c>
      <c r="I225" s="146">
        <f t="shared" si="25"/>
        <v>-10558</v>
      </c>
      <c r="J225" s="146"/>
      <c r="K225" s="25"/>
      <c r="L225" s="84">
        <f t="shared" si="21"/>
        <v>-2159</v>
      </c>
      <c r="M225" s="84">
        <f t="shared" si="21"/>
        <v>-2159</v>
      </c>
      <c r="N225" s="84">
        <f t="shared" si="21"/>
        <v>-2159</v>
      </c>
      <c r="O225" s="84">
        <f t="shared" si="21"/>
        <v>-2159</v>
      </c>
      <c r="P225" s="85">
        <f t="shared" si="22"/>
        <v>-1922</v>
      </c>
      <c r="Q225" s="85">
        <f t="shared" si="20"/>
        <v>0</v>
      </c>
    </row>
    <row r="226" spans="1:17">
      <c r="A226" s="166">
        <v>3270</v>
      </c>
      <c r="B226" s="167" t="s">
        <v>219</v>
      </c>
      <c r="C226" s="56">
        <f>VLOOKUP(A226,'Contribution Allocation_Report'!$A$9:$D$311,4,FALSE)</f>
        <v>8.2397701448273678E-4</v>
      </c>
      <c r="E226" s="81">
        <f>VLOOKUP(A226,Contributions_21!$A$9:$D$310,4,FALSE)</f>
        <v>8.6709999999999999E-4</v>
      </c>
      <c r="F226" s="26"/>
      <c r="G226" s="82">
        <f t="shared" si="24"/>
        <v>-189401</v>
      </c>
      <c r="H226" s="146">
        <f t="shared" si="23"/>
        <v>-32156</v>
      </c>
      <c r="I226" s="146">
        <f t="shared" si="25"/>
        <v>-157245</v>
      </c>
      <c r="J226" s="146"/>
      <c r="K226" s="25"/>
      <c r="L226" s="84">
        <f t="shared" si="21"/>
        <v>-32156</v>
      </c>
      <c r="M226" s="84">
        <f t="shared" si="21"/>
        <v>-32156</v>
      </c>
      <c r="N226" s="84">
        <f t="shared" si="21"/>
        <v>-32156</v>
      </c>
      <c r="O226" s="84">
        <f t="shared" si="21"/>
        <v>-32156</v>
      </c>
      <c r="P226" s="85">
        <f t="shared" si="22"/>
        <v>-28621</v>
      </c>
      <c r="Q226" s="85">
        <f t="shared" si="20"/>
        <v>0</v>
      </c>
    </row>
    <row r="227" spans="1:17">
      <c r="A227" s="164">
        <v>29303</v>
      </c>
      <c r="B227" s="168" t="s">
        <v>220</v>
      </c>
      <c r="C227" s="57">
        <f>VLOOKUP(A227,'Contribution Allocation_Report'!$A$9:$D$311,4,FALSE)</f>
        <v>2.5854119645864714E-4</v>
      </c>
      <c r="E227" s="81">
        <f>VLOOKUP(A227,Contributions_21!$A$9:$D$310,4,FALSE)</f>
        <v>2.052E-4</v>
      </c>
      <c r="F227" s="26"/>
      <c r="G227" s="82">
        <f t="shared" si="24"/>
        <v>234281</v>
      </c>
      <c r="H227" s="146">
        <f t="shared" si="23"/>
        <v>39776</v>
      </c>
      <c r="I227" s="146">
        <f t="shared" si="25"/>
        <v>194505</v>
      </c>
      <c r="J227" s="146"/>
      <c r="K227" s="25"/>
      <c r="L227" s="84">
        <f t="shared" si="21"/>
        <v>39776</v>
      </c>
      <c r="M227" s="84">
        <f t="shared" si="21"/>
        <v>39776</v>
      </c>
      <c r="N227" s="84">
        <f t="shared" si="21"/>
        <v>39776</v>
      </c>
      <c r="O227" s="84">
        <f t="shared" si="21"/>
        <v>39776</v>
      </c>
      <c r="P227" s="85">
        <f t="shared" si="22"/>
        <v>35401</v>
      </c>
      <c r="Q227" s="85">
        <f t="shared" si="20"/>
        <v>0</v>
      </c>
    </row>
    <row r="228" spans="1:17">
      <c r="A228" s="166">
        <v>3280</v>
      </c>
      <c r="B228" s="167" t="s">
        <v>441</v>
      </c>
      <c r="C228" s="56">
        <f>VLOOKUP(A228,'Contribution Allocation_Report'!$A$9:$D$311,4,FALSE)</f>
        <v>4.1645076448911071E-3</v>
      </c>
      <c r="E228" s="81">
        <f>VLOOKUP(A228,Contributions_21!$A$9:$D$310,4,FALSE)</f>
        <v>4.2655999999999996E-3</v>
      </c>
      <c r="F228" s="26"/>
      <c r="G228" s="82">
        <f t="shared" si="24"/>
        <v>-444010</v>
      </c>
      <c r="H228" s="146">
        <f t="shared" si="23"/>
        <v>-75384</v>
      </c>
      <c r="I228" s="146">
        <f t="shared" si="25"/>
        <v>-368626</v>
      </c>
      <c r="J228" s="146"/>
      <c r="K228" s="25"/>
      <c r="L228" s="84">
        <f t="shared" si="21"/>
        <v>-75384</v>
      </c>
      <c r="M228" s="84">
        <f t="shared" si="21"/>
        <v>-75384</v>
      </c>
      <c r="N228" s="84">
        <f t="shared" si="21"/>
        <v>-75384</v>
      </c>
      <c r="O228" s="84">
        <f t="shared" si="21"/>
        <v>-75384</v>
      </c>
      <c r="P228" s="85">
        <f t="shared" si="22"/>
        <v>-67090</v>
      </c>
      <c r="Q228" s="85">
        <f t="shared" si="20"/>
        <v>0</v>
      </c>
    </row>
    <row r="229" spans="1:17">
      <c r="A229" s="164">
        <v>4260</v>
      </c>
      <c r="B229" s="168" t="s">
        <v>222</v>
      </c>
      <c r="C229" s="57">
        <f>VLOOKUP(A229,'Contribution Allocation_Report'!$A$9:$D$311,4,FALSE)</f>
        <v>3.5478538157044249E-4</v>
      </c>
      <c r="E229" s="81">
        <f>VLOOKUP(A229,Contributions_21!$A$9:$D$310,4,FALSE)</f>
        <v>3.1310000000000002E-4</v>
      </c>
      <c r="F229" s="26"/>
      <c r="G229" s="82">
        <f t="shared" si="24"/>
        <v>183087</v>
      </c>
      <c r="H229" s="146">
        <f t="shared" si="23"/>
        <v>31084</v>
      </c>
      <c r="I229" s="146">
        <f t="shared" si="25"/>
        <v>152003</v>
      </c>
      <c r="J229" s="146"/>
      <c r="K229" s="25"/>
      <c r="L229" s="84">
        <f t="shared" si="21"/>
        <v>31084</v>
      </c>
      <c r="M229" s="84">
        <f t="shared" si="21"/>
        <v>31084</v>
      </c>
      <c r="N229" s="84">
        <f t="shared" si="21"/>
        <v>31084</v>
      </c>
      <c r="O229" s="84">
        <f t="shared" si="21"/>
        <v>31084</v>
      </c>
      <c r="P229" s="85">
        <f t="shared" si="22"/>
        <v>27667</v>
      </c>
      <c r="Q229" s="85">
        <f t="shared" si="20"/>
        <v>0</v>
      </c>
    </row>
    <row r="230" spans="1:17">
      <c r="A230" s="166">
        <v>1003</v>
      </c>
      <c r="B230" s="167" t="s">
        <v>223</v>
      </c>
      <c r="C230" s="56">
        <f>VLOOKUP(A230,'Contribution Allocation_Report'!$A$9:$D$311,4,FALSE)</f>
        <v>4.2350000873157328E-3</v>
      </c>
      <c r="E230" s="81">
        <f>VLOOKUP(A230,Contributions_21!$A$9:$D$310,4,FALSE)</f>
        <v>4.3736000000000001E-3</v>
      </c>
      <c r="F230" s="26"/>
      <c r="G230" s="82">
        <f t="shared" si="24"/>
        <v>-608747</v>
      </c>
      <c r="H230" s="146">
        <f t="shared" si="23"/>
        <v>-103353</v>
      </c>
      <c r="I230" s="146">
        <f t="shared" si="25"/>
        <v>-505394</v>
      </c>
      <c r="J230" s="146"/>
      <c r="K230" s="25"/>
      <c r="L230" s="84">
        <f t="shared" si="21"/>
        <v>-103353</v>
      </c>
      <c r="M230" s="84">
        <f t="shared" si="21"/>
        <v>-103353</v>
      </c>
      <c r="N230" s="84">
        <f t="shared" si="21"/>
        <v>-103353</v>
      </c>
      <c r="O230" s="84">
        <f t="shared" si="21"/>
        <v>-103353</v>
      </c>
      <c r="P230" s="85">
        <f t="shared" si="22"/>
        <v>-91982</v>
      </c>
      <c r="Q230" s="85">
        <f t="shared" si="20"/>
        <v>0</v>
      </c>
    </row>
    <row r="231" spans="1:17">
      <c r="A231" s="164">
        <v>3290</v>
      </c>
      <c r="B231" s="168" t="s">
        <v>224</v>
      </c>
      <c r="C231" s="57">
        <f>VLOOKUP(A231,'Contribution Allocation_Report'!$A$9:$D$311,4,FALSE)</f>
        <v>8.7822695865284045E-3</v>
      </c>
      <c r="E231" s="81">
        <f>VLOOKUP(A231,Contributions_21!$A$9:$D$310,4,FALSE)</f>
        <v>9.3092999999999995E-3</v>
      </c>
      <c r="F231" s="26"/>
      <c r="G231" s="82">
        <f t="shared" si="24"/>
        <v>-2314780</v>
      </c>
      <c r="H231" s="146">
        <f t="shared" si="23"/>
        <v>-393002</v>
      </c>
      <c r="I231" s="146">
        <f t="shared" si="25"/>
        <v>-1921778</v>
      </c>
      <c r="J231" s="146"/>
      <c r="K231" s="25"/>
      <c r="L231" s="84">
        <f t="shared" si="21"/>
        <v>-393002</v>
      </c>
      <c r="M231" s="84">
        <f t="shared" si="21"/>
        <v>-393002</v>
      </c>
      <c r="N231" s="84">
        <f t="shared" si="21"/>
        <v>-393002</v>
      </c>
      <c r="O231" s="84">
        <f t="shared" si="21"/>
        <v>-393002</v>
      </c>
      <c r="P231" s="85">
        <f t="shared" si="22"/>
        <v>-349770</v>
      </c>
      <c r="Q231" s="85">
        <f t="shared" si="20"/>
        <v>0</v>
      </c>
    </row>
    <row r="232" spans="1:17">
      <c r="A232" s="166">
        <v>1002</v>
      </c>
      <c r="B232" s="167" t="s">
        <v>225</v>
      </c>
      <c r="C232" s="56">
        <f>VLOOKUP(A232,'Contribution Allocation_Report'!$A$9:$D$311,4,FALSE)</f>
        <v>1.7170240223005367E-2</v>
      </c>
      <c r="E232" s="81">
        <f>VLOOKUP(A232,Contributions_21!$A$9:$D$310,4,FALSE)</f>
        <v>1.7429400000000001E-2</v>
      </c>
      <c r="F232" s="26"/>
      <c r="G232" s="82">
        <f t="shared" si="24"/>
        <v>-1138260</v>
      </c>
      <c r="H232" s="146">
        <f t="shared" si="23"/>
        <v>-193253</v>
      </c>
      <c r="I232" s="146">
        <f t="shared" si="25"/>
        <v>-945007</v>
      </c>
      <c r="J232" s="146"/>
      <c r="K232" s="25"/>
      <c r="L232" s="84">
        <f t="shared" si="21"/>
        <v>-193253</v>
      </c>
      <c r="M232" s="84">
        <f t="shared" si="21"/>
        <v>-193253</v>
      </c>
      <c r="N232" s="84">
        <f t="shared" si="21"/>
        <v>-193253</v>
      </c>
      <c r="O232" s="84">
        <f t="shared" si="21"/>
        <v>-193253</v>
      </c>
      <c r="P232" s="85">
        <f t="shared" si="22"/>
        <v>-171995</v>
      </c>
      <c r="Q232" s="85">
        <f t="shared" si="20"/>
        <v>0</v>
      </c>
    </row>
    <row r="233" spans="1:17">
      <c r="A233" s="164">
        <v>4270</v>
      </c>
      <c r="B233" s="168" t="s">
        <v>442</v>
      </c>
      <c r="C233" s="57">
        <f>VLOOKUP(A233,'Contribution Allocation_Report'!$A$9:$D$311,4,FALSE)</f>
        <v>3.7177601913850614E-4</v>
      </c>
      <c r="E233" s="81">
        <f>VLOOKUP(A233,Contributions_21!$A$9:$D$310,4,FALSE)</f>
        <v>3.7839999999999998E-4</v>
      </c>
      <c r="F233" s="26"/>
      <c r="G233" s="82">
        <f t="shared" si="24"/>
        <v>-29093</v>
      </c>
      <c r="H233" s="146">
        <f t="shared" si="23"/>
        <v>-4939</v>
      </c>
      <c r="I233" s="146">
        <f t="shared" si="25"/>
        <v>-24154</v>
      </c>
      <c r="J233" s="146"/>
      <c r="K233" s="25"/>
      <c r="L233" s="84">
        <f t="shared" si="21"/>
        <v>-4939</v>
      </c>
      <c r="M233" s="84">
        <f t="shared" si="21"/>
        <v>-4939</v>
      </c>
      <c r="N233" s="84">
        <f t="shared" si="21"/>
        <v>-4939</v>
      </c>
      <c r="O233" s="84">
        <f t="shared" si="21"/>
        <v>-4939</v>
      </c>
      <c r="P233" s="85">
        <f t="shared" ref="P233" si="26">I233-SUM(L233:O233)</f>
        <v>-4398</v>
      </c>
      <c r="Q233" s="85">
        <f t="shared" ref="Q233" si="27">+I233-SUM(L233:P233)</f>
        <v>0</v>
      </c>
    </row>
    <row r="234" spans="1:17">
      <c r="A234" s="166">
        <v>24072</v>
      </c>
      <c r="B234" s="167" t="s">
        <v>226</v>
      </c>
      <c r="C234" s="56">
        <f>VLOOKUP(A234,'Contribution Allocation_Report'!$A$9:$D$311,4,FALSE)</f>
        <v>1.3265789741076662E-3</v>
      </c>
      <c r="E234" s="81">
        <f>VLOOKUP(A234,Contributions_21!$A$9:$D$310,4,FALSE)</f>
        <v>1.2374E-3</v>
      </c>
      <c r="F234" s="26"/>
      <c r="G234" s="82">
        <f t="shared" si="24"/>
        <v>391685</v>
      </c>
      <c r="H234" s="146">
        <f t="shared" si="23"/>
        <v>66500</v>
      </c>
      <c r="I234" s="146">
        <f t="shared" si="25"/>
        <v>325185</v>
      </c>
      <c r="J234" s="146"/>
      <c r="K234" s="25"/>
      <c r="L234" s="84">
        <f t="shared" si="21"/>
        <v>66500</v>
      </c>
      <c r="M234" s="84">
        <f t="shared" si="21"/>
        <v>66500</v>
      </c>
      <c r="N234" s="84">
        <f t="shared" si="21"/>
        <v>66500</v>
      </c>
      <c r="O234" s="84">
        <f t="shared" si="21"/>
        <v>66500</v>
      </c>
      <c r="P234" s="85">
        <f t="shared" si="22"/>
        <v>59185</v>
      </c>
      <c r="Q234" s="85">
        <f t="shared" si="20"/>
        <v>0</v>
      </c>
    </row>
    <row r="235" spans="1:17">
      <c r="A235" s="164">
        <v>14366</v>
      </c>
      <c r="B235" s="168" t="s">
        <v>227</v>
      </c>
      <c r="C235" s="57">
        <f>VLOOKUP(A235,'Contribution Allocation_Report'!$A$9:$D$311,4,FALSE)</f>
        <v>7.0157748521199287E-4</v>
      </c>
      <c r="E235" s="81">
        <f>VLOOKUP(A235,Contributions_21!$A$9:$D$310,4,FALSE)</f>
        <v>5.6400000000000005E-4</v>
      </c>
      <c r="F235" s="26"/>
      <c r="G235" s="82">
        <f t="shared" si="24"/>
        <v>604256</v>
      </c>
      <c r="H235" s="146">
        <f t="shared" si="23"/>
        <v>102590</v>
      </c>
      <c r="I235" s="146">
        <f t="shared" si="25"/>
        <v>501666</v>
      </c>
      <c r="J235" s="146"/>
      <c r="K235" s="25"/>
      <c r="L235" s="84">
        <f t="shared" si="21"/>
        <v>102590</v>
      </c>
      <c r="M235" s="84">
        <f t="shared" si="21"/>
        <v>102590</v>
      </c>
      <c r="N235" s="84">
        <f t="shared" si="21"/>
        <v>102590</v>
      </c>
      <c r="O235" s="84">
        <f t="shared" si="21"/>
        <v>102590</v>
      </c>
      <c r="P235" s="85">
        <f t="shared" si="22"/>
        <v>91306</v>
      </c>
      <c r="Q235" s="85">
        <f t="shared" si="20"/>
        <v>0</v>
      </c>
    </row>
    <row r="236" spans="1:17">
      <c r="A236" s="166">
        <v>4317</v>
      </c>
      <c r="B236" s="167" t="s">
        <v>228</v>
      </c>
      <c r="C236" s="56">
        <f>VLOOKUP(A236,'Contribution Allocation_Report'!$A$9:$D$311,4,FALSE)</f>
        <v>2.3214959777963278E-4</v>
      </c>
      <c r="E236" s="81">
        <f>VLOOKUP(A236,Contributions_21!$A$9:$D$310,4,FALSE)</f>
        <v>2.131E-4</v>
      </c>
      <c r="F236" s="26"/>
      <c r="G236" s="82">
        <f t="shared" si="24"/>
        <v>83668</v>
      </c>
      <c r="H236" s="146">
        <f t="shared" si="23"/>
        <v>14205</v>
      </c>
      <c r="I236" s="146">
        <f t="shared" si="25"/>
        <v>69463</v>
      </c>
      <c r="J236" s="146"/>
      <c r="K236" s="25"/>
      <c r="L236" s="84">
        <f t="shared" si="21"/>
        <v>14205</v>
      </c>
      <c r="M236" s="84">
        <f t="shared" si="21"/>
        <v>14205</v>
      </c>
      <c r="N236" s="84">
        <f t="shared" si="21"/>
        <v>14205</v>
      </c>
      <c r="O236" s="84">
        <f t="shared" si="21"/>
        <v>14205</v>
      </c>
      <c r="P236" s="85">
        <f t="shared" si="22"/>
        <v>12643</v>
      </c>
      <c r="Q236" s="85">
        <f t="shared" si="20"/>
        <v>0</v>
      </c>
    </row>
    <row r="237" spans="1:17">
      <c r="A237" s="164">
        <v>32120</v>
      </c>
      <c r="B237" s="168" t="s">
        <v>229</v>
      </c>
      <c r="C237" s="57">
        <f>VLOOKUP(A237,'Contribution Allocation_Report'!$A$9:$D$311,4,FALSE)</f>
        <v>2.8675392372983513E-4</v>
      </c>
      <c r="E237" s="81">
        <f>VLOOKUP(A237,Contributions_21!$A$9:$D$310,4,FALSE)</f>
        <v>2.4919999999999999E-4</v>
      </c>
      <c r="F237" s="26"/>
      <c r="G237" s="82">
        <f t="shared" si="24"/>
        <v>164941</v>
      </c>
      <c r="H237" s="146">
        <f t="shared" si="23"/>
        <v>28004</v>
      </c>
      <c r="I237" s="146">
        <f t="shared" si="25"/>
        <v>136937</v>
      </c>
      <c r="J237" s="146"/>
      <c r="K237" s="25"/>
      <c r="L237" s="84">
        <f t="shared" si="21"/>
        <v>28003</v>
      </c>
      <c r="M237" s="84">
        <f t="shared" si="21"/>
        <v>28003</v>
      </c>
      <c r="N237" s="84">
        <f t="shared" si="21"/>
        <v>28003</v>
      </c>
      <c r="O237" s="84">
        <f t="shared" si="21"/>
        <v>28003</v>
      </c>
      <c r="P237" s="85">
        <f t="shared" si="22"/>
        <v>24925</v>
      </c>
      <c r="Q237" s="85">
        <f t="shared" si="20"/>
        <v>0</v>
      </c>
    </row>
    <row r="238" spans="1:17">
      <c r="A238" s="166">
        <v>3300</v>
      </c>
      <c r="B238" s="167" t="s">
        <v>443</v>
      </c>
      <c r="C238" s="56">
        <f>VLOOKUP(A238,'Contribution Allocation_Report'!$A$9:$D$311,4,FALSE)</f>
        <v>6.2201877557984287E-4</v>
      </c>
      <c r="E238" s="81">
        <f>VLOOKUP(A238,Contributions_21!$A$9:$D$310,4,FALSE)</f>
        <v>6.0260000000000001E-4</v>
      </c>
      <c r="F238" s="26"/>
      <c r="G238" s="82">
        <f t="shared" si="24"/>
        <v>85290</v>
      </c>
      <c r="H238" s="146">
        <f t="shared" si="23"/>
        <v>14480</v>
      </c>
      <c r="I238" s="146">
        <f t="shared" si="25"/>
        <v>70810</v>
      </c>
      <c r="J238" s="146"/>
      <c r="K238" s="25"/>
      <c r="L238" s="84">
        <f t="shared" si="21"/>
        <v>14481</v>
      </c>
      <c r="M238" s="84">
        <f t="shared" si="21"/>
        <v>14481</v>
      </c>
      <c r="N238" s="84">
        <f t="shared" si="21"/>
        <v>14481</v>
      </c>
      <c r="O238" s="84">
        <f t="shared" si="21"/>
        <v>14481</v>
      </c>
      <c r="P238" s="85">
        <f t="shared" si="22"/>
        <v>12886</v>
      </c>
      <c r="Q238" s="85">
        <f t="shared" si="20"/>
        <v>0</v>
      </c>
    </row>
    <row r="239" spans="1:17">
      <c r="A239" s="164">
        <v>8026</v>
      </c>
      <c r="B239" s="168" t="s">
        <v>231</v>
      </c>
      <c r="C239" s="57">
        <f>VLOOKUP(A239,'Contribution Allocation_Report'!$A$9:$D$311,4,FALSE)</f>
        <v>3.4065440808900825E-3</v>
      </c>
      <c r="E239" s="81">
        <f>VLOOKUP(A239,Contributions_21!$A$9:$D$310,4,FALSE)</f>
        <v>3.3944000000000001E-3</v>
      </c>
      <c r="F239" s="26"/>
      <c r="G239" s="82">
        <f t="shared" si="24"/>
        <v>53338</v>
      </c>
      <c r="H239" s="146">
        <f t="shared" si="23"/>
        <v>9056</v>
      </c>
      <c r="I239" s="146">
        <f t="shared" si="25"/>
        <v>44282</v>
      </c>
      <c r="J239" s="146"/>
      <c r="K239" s="25"/>
      <c r="L239" s="84">
        <f t="shared" si="21"/>
        <v>9056</v>
      </c>
      <c r="M239" s="84">
        <f t="shared" si="21"/>
        <v>9056</v>
      </c>
      <c r="N239" s="84">
        <f t="shared" si="21"/>
        <v>9056</v>
      </c>
      <c r="O239" s="84">
        <f t="shared" si="21"/>
        <v>9056</v>
      </c>
      <c r="P239" s="85">
        <f t="shared" si="22"/>
        <v>8058</v>
      </c>
      <c r="Q239" s="85">
        <f t="shared" si="20"/>
        <v>0</v>
      </c>
    </row>
    <row r="240" spans="1:17">
      <c r="A240" s="166">
        <v>32119</v>
      </c>
      <c r="B240" s="167" t="s">
        <v>232</v>
      </c>
      <c r="C240" s="56">
        <f>VLOOKUP(A240,'Contribution Allocation_Report'!$A$9:$D$311,4,FALSE)</f>
        <v>1.2419112604790939E-4</v>
      </c>
      <c r="E240" s="81">
        <f>VLOOKUP(A240,Contributions_21!$A$9:$D$310,4,FALSE)</f>
        <v>1.15E-4</v>
      </c>
      <c r="F240" s="26"/>
      <c r="G240" s="82">
        <f t="shared" si="24"/>
        <v>40369</v>
      </c>
      <c r="H240" s="146">
        <f t="shared" si="23"/>
        <v>6854</v>
      </c>
      <c r="I240" s="146">
        <f t="shared" si="25"/>
        <v>33515</v>
      </c>
      <c r="J240" s="146"/>
      <c r="K240" s="25"/>
      <c r="L240" s="84">
        <f t="shared" si="21"/>
        <v>6854</v>
      </c>
      <c r="M240" s="84">
        <f t="shared" si="21"/>
        <v>6854</v>
      </c>
      <c r="N240" s="84">
        <f t="shared" si="21"/>
        <v>6854</v>
      </c>
      <c r="O240" s="84">
        <f t="shared" si="21"/>
        <v>6854</v>
      </c>
      <c r="P240" s="85">
        <f t="shared" si="22"/>
        <v>6099</v>
      </c>
      <c r="Q240" s="85">
        <f t="shared" si="20"/>
        <v>0</v>
      </c>
    </row>
    <row r="241" spans="1:17">
      <c r="A241" s="164">
        <v>25076</v>
      </c>
      <c r="B241" s="168" t="s">
        <v>233</v>
      </c>
      <c r="C241" s="57">
        <f>VLOOKUP(A241,'Contribution Allocation_Report'!$A$9:$D$311,4,FALSE)</f>
        <v>2.0114709838400138E-3</v>
      </c>
      <c r="E241" s="81">
        <f>VLOOKUP(A241,Contributions_21!$A$9:$D$310,4,FALSE)</f>
        <v>2.0506000000000001E-3</v>
      </c>
      <c r="F241" s="26"/>
      <c r="G241" s="82">
        <f t="shared" si="24"/>
        <v>-171859</v>
      </c>
      <c r="H241" s="146">
        <f t="shared" si="23"/>
        <v>-29178</v>
      </c>
      <c r="I241" s="146">
        <f t="shared" si="25"/>
        <v>-142681</v>
      </c>
      <c r="J241" s="146"/>
      <c r="K241" s="25"/>
      <c r="L241" s="84">
        <f t="shared" si="21"/>
        <v>-29178</v>
      </c>
      <c r="M241" s="84">
        <f t="shared" si="21"/>
        <v>-29178</v>
      </c>
      <c r="N241" s="84">
        <f t="shared" si="21"/>
        <v>-29178</v>
      </c>
      <c r="O241" s="84">
        <f t="shared" si="21"/>
        <v>-29178</v>
      </c>
      <c r="P241" s="85">
        <f t="shared" si="22"/>
        <v>-25969</v>
      </c>
      <c r="Q241" s="85">
        <f t="shared" si="20"/>
        <v>0</v>
      </c>
    </row>
    <row r="242" spans="1:17">
      <c r="A242" s="166">
        <v>2440</v>
      </c>
      <c r="B242" s="167" t="s">
        <v>413</v>
      </c>
      <c r="C242" s="56">
        <f>VLOOKUP(A242,'Contribution Allocation_Report'!$A$9:$D$311,4,FALSE)</f>
        <v>2.8721658883163061E-4</v>
      </c>
      <c r="E242" s="81">
        <f>VLOOKUP(A242,Contributions_21!$A$9:$D$310,4,FALSE)</f>
        <v>2.0039999999999999E-4</v>
      </c>
      <c r="F242" s="26"/>
      <c r="G242" s="82">
        <f t="shared" si="24"/>
        <v>381309</v>
      </c>
      <c r="H242" s="146">
        <f t="shared" si="23"/>
        <v>64738</v>
      </c>
      <c r="I242" s="146">
        <f t="shared" si="25"/>
        <v>316571</v>
      </c>
      <c r="J242" s="146"/>
      <c r="K242" s="25"/>
      <c r="L242" s="84">
        <f t="shared" si="21"/>
        <v>64738</v>
      </c>
      <c r="M242" s="84">
        <f t="shared" si="21"/>
        <v>64738</v>
      </c>
      <c r="N242" s="84">
        <f t="shared" si="21"/>
        <v>64738</v>
      </c>
      <c r="O242" s="84">
        <f t="shared" si="21"/>
        <v>64738</v>
      </c>
      <c r="P242" s="85">
        <f t="shared" si="22"/>
        <v>57619</v>
      </c>
      <c r="Q242" s="85">
        <f t="shared" si="20"/>
        <v>0</v>
      </c>
    </row>
    <row r="243" spans="1:17">
      <c r="A243" s="164">
        <v>2309</v>
      </c>
      <c r="B243" s="168" t="s">
        <v>234</v>
      </c>
      <c r="C243" s="57">
        <f>VLOOKUP(A243,'Contribution Allocation_Report'!$A$9:$D$311,4,FALSE)</f>
        <v>8.5034892528507893E-4</v>
      </c>
      <c r="E243" s="81">
        <f>VLOOKUP(A243,Contributions_21!$A$9:$D$310,4,FALSE)</f>
        <v>8.7399999999999999E-4</v>
      </c>
      <c r="F243" s="26"/>
      <c r="G243" s="82">
        <f t="shared" si="24"/>
        <v>-103878</v>
      </c>
      <c r="H243" s="146">
        <f t="shared" si="23"/>
        <v>-17636</v>
      </c>
      <c r="I243" s="146">
        <f t="shared" si="25"/>
        <v>-86242</v>
      </c>
      <c r="J243" s="146"/>
      <c r="K243" s="25"/>
      <c r="L243" s="84">
        <f t="shared" si="21"/>
        <v>-17636</v>
      </c>
      <c r="M243" s="84">
        <f t="shared" si="21"/>
        <v>-17636</v>
      </c>
      <c r="N243" s="84">
        <f t="shared" si="21"/>
        <v>-17636</v>
      </c>
      <c r="O243" s="84">
        <f t="shared" si="21"/>
        <v>-17636</v>
      </c>
      <c r="P243" s="85">
        <f t="shared" si="22"/>
        <v>-15698</v>
      </c>
      <c r="Q243" s="85">
        <f t="shared" si="20"/>
        <v>0</v>
      </c>
    </row>
    <row r="244" spans="1:17">
      <c r="A244" s="166">
        <v>2396</v>
      </c>
      <c r="B244" s="167" t="s">
        <v>235</v>
      </c>
      <c r="C244" s="56">
        <f>VLOOKUP(A244,'Contribution Allocation_Report'!$A$9:$D$311,4,FALSE)</f>
        <v>2.5601130430627609E-4</v>
      </c>
      <c r="E244" s="81">
        <f>VLOOKUP(A244,Contributions_21!$A$9:$D$310,4,FALSE)</f>
        <v>2.321E-4</v>
      </c>
      <c r="F244" s="26"/>
      <c r="G244" s="82">
        <f t="shared" si="24"/>
        <v>105021</v>
      </c>
      <c r="H244" s="146">
        <f t="shared" si="23"/>
        <v>17830</v>
      </c>
      <c r="I244" s="146">
        <f t="shared" si="25"/>
        <v>87191</v>
      </c>
      <c r="J244" s="146"/>
      <c r="K244" s="25"/>
      <c r="L244" s="84">
        <f t="shared" si="21"/>
        <v>17830</v>
      </c>
      <c r="M244" s="84">
        <f t="shared" si="21"/>
        <v>17830</v>
      </c>
      <c r="N244" s="84">
        <f t="shared" si="21"/>
        <v>17830</v>
      </c>
      <c r="O244" s="84">
        <f t="shared" si="21"/>
        <v>17830</v>
      </c>
      <c r="P244" s="85">
        <f t="shared" si="22"/>
        <v>15871</v>
      </c>
      <c r="Q244" s="85">
        <f t="shared" si="20"/>
        <v>0</v>
      </c>
    </row>
    <row r="245" spans="1:17">
      <c r="A245" s="164">
        <v>3380</v>
      </c>
      <c r="B245" s="165" t="s">
        <v>236</v>
      </c>
      <c r="C245" s="66">
        <f>VLOOKUP(A245,'Contribution Allocation_Report'!$A$9:$D$311,4,FALSE)</f>
        <v>1.8103002600040056E-4</v>
      </c>
      <c r="E245" s="81">
        <f>VLOOKUP(A245,Contributions_21!$A$9:$D$310,4,FALSE)</f>
        <v>1.874E-4</v>
      </c>
      <c r="F245" s="26"/>
      <c r="G245" s="82">
        <f t="shared" si="24"/>
        <v>-27978</v>
      </c>
      <c r="H245" s="146">
        <f t="shared" si="23"/>
        <v>-4750</v>
      </c>
      <c r="I245" s="146">
        <f t="shared" si="25"/>
        <v>-23228</v>
      </c>
      <c r="J245" s="146"/>
      <c r="K245" s="25"/>
      <c r="L245" s="84">
        <f t="shared" si="21"/>
        <v>-4750</v>
      </c>
      <c r="M245" s="84">
        <f t="shared" si="21"/>
        <v>-4750</v>
      </c>
      <c r="N245" s="84">
        <f t="shared" si="21"/>
        <v>-4750</v>
      </c>
      <c r="O245" s="84">
        <f t="shared" si="21"/>
        <v>-4750</v>
      </c>
      <c r="P245" s="85">
        <f t="shared" si="22"/>
        <v>-4228</v>
      </c>
      <c r="Q245" s="85">
        <f t="shared" si="20"/>
        <v>0</v>
      </c>
    </row>
    <row r="246" spans="1:17">
      <c r="A246" s="166">
        <v>2420</v>
      </c>
      <c r="B246" s="167" t="s">
        <v>237</v>
      </c>
      <c r="C246" s="56">
        <f>VLOOKUP(A246,'Contribution Allocation_Report'!$A$9:$D$311,4,FALSE)</f>
        <v>2.3696328362597294E-4</v>
      </c>
      <c r="E246" s="81">
        <f>VLOOKUP(A246,Contributions_21!$A$9:$D$310,4,FALSE)</f>
        <v>2.589E-4</v>
      </c>
      <c r="F246" s="26"/>
      <c r="G246" s="82">
        <f t="shared" si="24"/>
        <v>-96349</v>
      </c>
      <c r="H246" s="146">
        <f t="shared" si="23"/>
        <v>-16358</v>
      </c>
      <c r="I246" s="146">
        <f t="shared" si="25"/>
        <v>-79991</v>
      </c>
      <c r="J246" s="146"/>
      <c r="K246" s="25"/>
      <c r="L246" s="84">
        <f t="shared" si="21"/>
        <v>-16358</v>
      </c>
      <c r="M246" s="84">
        <f t="shared" si="21"/>
        <v>-16358</v>
      </c>
      <c r="N246" s="84">
        <f t="shared" si="21"/>
        <v>-16358</v>
      </c>
      <c r="O246" s="84">
        <f t="shared" si="21"/>
        <v>-16358</v>
      </c>
      <c r="P246" s="85">
        <f t="shared" si="22"/>
        <v>-14559</v>
      </c>
      <c r="Q246" s="85">
        <f t="shared" si="20"/>
        <v>0</v>
      </c>
    </row>
    <row r="247" spans="1:17">
      <c r="A247" s="164">
        <v>2740</v>
      </c>
      <c r="B247" s="168" t="s">
        <v>238</v>
      </c>
      <c r="C247" s="57">
        <f>VLOOKUP(A247,'Contribution Allocation_Report'!$A$9:$D$311,4,FALSE)</f>
        <v>5.162161263437197E-5</v>
      </c>
      <c r="E247" s="81">
        <f>VLOOKUP(A247,Contributions_21!$A$9:$D$310,4,FALSE)</f>
        <v>4.3000000000000002E-5</v>
      </c>
      <c r="F247" s="26"/>
      <c r="G247" s="82">
        <f t="shared" si="24"/>
        <v>37867</v>
      </c>
      <c r="H247" s="146">
        <f t="shared" si="23"/>
        <v>6429</v>
      </c>
      <c r="I247" s="146">
        <f t="shared" si="25"/>
        <v>31438</v>
      </c>
      <c r="J247" s="146"/>
      <c r="K247" s="25"/>
      <c r="L247" s="84">
        <f t="shared" si="21"/>
        <v>6429</v>
      </c>
      <c r="M247" s="84">
        <f t="shared" si="21"/>
        <v>6429</v>
      </c>
      <c r="N247" s="84">
        <f t="shared" si="21"/>
        <v>6429</v>
      </c>
      <c r="O247" s="84">
        <f t="shared" si="21"/>
        <v>6429</v>
      </c>
      <c r="P247" s="85">
        <f t="shared" si="22"/>
        <v>5722</v>
      </c>
      <c r="Q247" s="85">
        <f t="shared" si="20"/>
        <v>0</v>
      </c>
    </row>
    <row r="248" spans="1:17">
      <c r="A248" s="166">
        <v>2346</v>
      </c>
      <c r="B248" s="167" t="s">
        <v>239</v>
      </c>
      <c r="C248" s="56">
        <f>VLOOKUP(A248,'Contribution Allocation_Report'!$A$9:$D$311,4,FALSE)</f>
        <v>2.1169389391727104E-4</v>
      </c>
      <c r="E248" s="81">
        <f>VLOOKUP(A248,Contributions_21!$A$9:$D$310,4,FALSE)</f>
        <v>1.8450000000000001E-4</v>
      </c>
      <c r="F248" s="26"/>
      <c r="G248" s="82">
        <f t="shared" si="24"/>
        <v>119439</v>
      </c>
      <c r="H248" s="146">
        <f t="shared" si="23"/>
        <v>20278</v>
      </c>
      <c r="I248" s="146">
        <f t="shared" si="25"/>
        <v>99161</v>
      </c>
      <c r="J248" s="146"/>
      <c r="K248" s="25"/>
      <c r="L248" s="84">
        <f t="shared" si="21"/>
        <v>20278</v>
      </c>
      <c r="M248" s="84">
        <f t="shared" si="21"/>
        <v>20278</v>
      </c>
      <c r="N248" s="84">
        <f t="shared" si="21"/>
        <v>20278</v>
      </c>
      <c r="O248" s="84">
        <f t="shared" si="21"/>
        <v>20278</v>
      </c>
      <c r="P248" s="85">
        <f t="shared" si="22"/>
        <v>18049</v>
      </c>
      <c r="Q248" s="85">
        <f t="shared" si="20"/>
        <v>0</v>
      </c>
    </row>
    <row r="249" spans="1:17">
      <c r="A249" s="164">
        <v>21150</v>
      </c>
      <c r="B249" s="168" t="s">
        <v>240</v>
      </c>
      <c r="C249" s="57">
        <f>VLOOKUP(A249,'Contribution Allocation_Report'!$A$9:$D$311,4,FALSE)</f>
        <v>4.9146846536682971E-4</v>
      </c>
      <c r="E249" s="81">
        <f>VLOOKUP(A249,Contributions_21!$A$9:$D$310,4,FALSE)</f>
        <v>4.596E-4</v>
      </c>
      <c r="F249" s="26"/>
      <c r="G249" s="82">
        <f t="shared" si="24"/>
        <v>139970</v>
      </c>
      <c r="H249" s="146">
        <f t="shared" si="23"/>
        <v>23764</v>
      </c>
      <c r="I249" s="146">
        <f t="shared" si="25"/>
        <v>116206</v>
      </c>
      <c r="J249" s="146"/>
      <c r="K249" s="25"/>
      <c r="L249" s="84">
        <f t="shared" si="21"/>
        <v>23764</v>
      </c>
      <c r="M249" s="84">
        <f t="shared" si="21"/>
        <v>23764</v>
      </c>
      <c r="N249" s="84">
        <f t="shared" si="21"/>
        <v>23764</v>
      </c>
      <c r="O249" s="84">
        <f t="shared" si="21"/>
        <v>23764</v>
      </c>
      <c r="P249" s="85">
        <f t="shared" si="22"/>
        <v>21150</v>
      </c>
      <c r="Q249" s="85">
        <f t="shared" si="20"/>
        <v>0</v>
      </c>
    </row>
    <row r="250" spans="1:17">
      <c r="A250" s="166">
        <v>32098</v>
      </c>
      <c r="B250" s="167" t="s">
        <v>241</v>
      </c>
      <c r="C250" s="56">
        <f>VLOOKUP(A250,'Contribution Allocation_Report'!$A$9:$D$311,4,FALSE)</f>
        <v>2.1197936812901718E-4</v>
      </c>
      <c r="E250" s="81">
        <f>VLOOKUP(A250,Contributions_21!$A$9:$D$310,4,FALSE)</f>
        <v>2.2709999999999999E-4</v>
      </c>
      <c r="F250" s="26"/>
      <c r="G250" s="82">
        <f t="shared" si="24"/>
        <v>-66412</v>
      </c>
      <c r="H250" s="146">
        <f t="shared" si="23"/>
        <v>-11275</v>
      </c>
      <c r="I250" s="146">
        <f t="shared" si="25"/>
        <v>-55137</v>
      </c>
      <c r="J250" s="146"/>
      <c r="K250" s="25"/>
      <c r="L250" s="84">
        <f t="shared" si="21"/>
        <v>-11275</v>
      </c>
      <c r="M250" s="84">
        <f t="shared" si="21"/>
        <v>-11275</v>
      </c>
      <c r="N250" s="84">
        <f t="shared" si="21"/>
        <v>-11275</v>
      </c>
      <c r="O250" s="84">
        <f t="shared" si="21"/>
        <v>-11275</v>
      </c>
      <c r="P250" s="85">
        <f t="shared" si="22"/>
        <v>-10037</v>
      </c>
      <c r="Q250" s="85">
        <f t="shared" si="20"/>
        <v>0</v>
      </c>
    </row>
    <row r="251" spans="1:17">
      <c r="A251" s="164">
        <v>4520</v>
      </c>
      <c r="B251" s="168" t="s">
        <v>242</v>
      </c>
      <c r="C251" s="57">
        <f>VLOOKUP(A251,'Contribution Allocation_Report'!$A$9:$D$311,4,FALSE)</f>
        <v>3.1323411785387416E-5</v>
      </c>
      <c r="E251" s="81">
        <f>VLOOKUP(A251,Contributions_21!$A$9:$D$310,4,FALSE)</f>
        <v>3.0599999999999998E-5</v>
      </c>
      <c r="F251" s="26"/>
      <c r="G251" s="82">
        <f t="shared" si="24"/>
        <v>3177</v>
      </c>
      <c r="H251" s="146">
        <f t="shared" si="23"/>
        <v>539</v>
      </c>
      <c r="I251" s="146">
        <f t="shared" si="25"/>
        <v>2638</v>
      </c>
      <c r="J251" s="146"/>
      <c r="K251" s="25"/>
      <c r="L251" s="84">
        <f t="shared" si="21"/>
        <v>539</v>
      </c>
      <c r="M251" s="84">
        <f t="shared" si="21"/>
        <v>539</v>
      </c>
      <c r="N251" s="84">
        <f t="shared" si="21"/>
        <v>539</v>
      </c>
      <c r="O251" s="84">
        <f t="shared" si="21"/>
        <v>539</v>
      </c>
      <c r="P251" s="85">
        <f t="shared" si="22"/>
        <v>482</v>
      </c>
      <c r="Q251" s="85">
        <f t="shared" si="20"/>
        <v>0</v>
      </c>
    </row>
    <row r="252" spans="1:17">
      <c r="A252" s="166">
        <v>9030</v>
      </c>
      <c r="B252" s="167" t="s">
        <v>243</v>
      </c>
      <c r="C252" s="56">
        <f>VLOOKUP(A252,'Contribution Allocation_Report'!$A$9:$D$311,4,FALSE)</f>
        <v>2.9347733361337368E-4</v>
      </c>
      <c r="E252" s="81">
        <f>VLOOKUP(A252,Contributions_21!$A$9:$D$310,4,FALSE)</f>
        <v>2.9339999999999998E-4</v>
      </c>
      <c r="F252" s="26"/>
      <c r="G252" s="82">
        <f t="shared" si="24"/>
        <v>340</v>
      </c>
      <c r="H252" s="146">
        <f t="shared" si="23"/>
        <v>58</v>
      </c>
      <c r="I252" s="146">
        <f t="shared" si="25"/>
        <v>282</v>
      </c>
      <c r="J252" s="146"/>
      <c r="K252" s="25"/>
      <c r="L252" s="84">
        <f t="shared" si="21"/>
        <v>58</v>
      </c>
      <c r="M252" s="84">
        <f t="shared" si="21"/>
        <v>58</v>
      </c>
      <c r="N252" s="84">
        <f t="shared" si="21"/>
        <v>58</v>
      </c>
      <c r="O252" s="84">
        <f t="shared" si="21"/>
        <v>58</v>
      </c>
      <c r="P252" s="85">
        <f t="shared" si="22"/>
        <v>50</v>
      </c>
      <c r="Q252" s="85">
        <f t="shared" si="20"/>
        <v>0</v>
      </c>
    </row>
    <row r="253" spans="1:17">
      <c r="A253" s="164">
        <v>20265</v>
      </c>
      <c r="B253" s="168" t="s">
        <v>244</v>
      </c>
      <c r="C253" s="57">
        <f>VLOOKUP(A253,'Contribution Allocation_Report'!$A$9:$D$311,4,FALSE)</f>
        <v>3.3908429992440445E-4</v>
      </c>
      <c r="E253" s="81">
        <f>VLOOKUP(A253,Contributions_21!$A$9:$D$310,4,FALSE)</f>
        <v>2.7599999999999999E-4</v>
      </c>
      <c r="F253" s="26"/>
      <c r="G253" s="82">
        <f t="shared" si="24"/>
        <v>277074</v>
      </c>
      <c r="H253" s="146">
        <f t="shared" si="23"/>
        <v>47041</v>
      </c>
      <c r="I253" s="146">
        <f t="shared" si="25"/>
        <v>230033</v>
      </c>
      <c r="J253" s="146"/>
      <c r="K253" s="25"/>
      <c r="L253" s="84">
        <f t="shared" si="21"/>
        <v>47042</v>
      </c>
      <c r="M253" s="84">
        <f t="shared" si="21"/>
        <v>47042</v>
      </c>
      <c r="N253" s="84">
        <f t="shared" si="21"/>
        <v>47042</v>
      </c>
      <c r="O253" s="84">
        <f t="shared" si="21"/>
        <v>47042</v>
      </c>
      <c r="P253" s="85">
        <f t="shared" si="22"/>
        <v>41865</v>
      </c>
      <c r="Q253" s="85">
        <f t="shared" si="20"/>
        <v>0</v>
      </c>
    </row>
    <row r="254" spans="1:17">
      <c r="A254" s="166">
        <v>20307</v>
      </c>
      <c r="B254" s="167" t="s">
        <v>245</v>
      </c>
      <c r="C254" s="56">
        <f>VLOOKUP(A254,'Contribution Allocation_Report'!$A$9:$D$311,4,FALSE)</f>
        <v>3.0787901539904993E-4</v>
      </c>
      <c r="E254" s="81">
        <f>VLOOKUP(A254,Contributions_21!$A$9:$D$310,4,FALSE)</f>
        <v>2.7E-4</v>
      </c>
      <c r="F254" s="26"/>
      <c r="G254" s="82">
        <f t="shared" si="24"/>
        <v>166369</v>
      </c>
      <c r="H254" s="146">
        <f t="shared" si="23"/>
        <v>28246</v>
      </c>
      <c r="I254" s="146">
        <f t="shared" si="25"/>
        <v>138123</v>
      </c>
      <c r="J254" s="146"/>
      <c r="K254" s="25"/>
      <c r="L254" s="84">
        <f t="shared" si="21"/>
        <v>28246</v>
      </c>
      <c r="M254" s="84">
        <f t="shared" si="21"/>
        <v>28246</v>
      </c>
      <c r="N254" s="84">
        <f t="shared" si="21"/>
        <v>28246</v>
      </c>
      <c r="O254" s="84">
        <f t="shared" si="21"/>
        <v>28246</v>
      </c>
      <c r="P254" s="85">
        <f t="shared" si="22"/>
        <v>25139</v>
      </c>
      <c r="Q254" s="85">
        <f t="shared" si="20"/>
        <v>0</v>
      </c>
    </row>
    <row r="255" spans="1:17">
      <c r="A255" s="164">
        <v>3320</v>
      </c>
      <c r="B255" s="168" t="s">
        <v>246</v>
      </c>
      <c r="C255" s="57">
        <f>VLOOKUP(A255,'Contribution Allocation_Report'!$A$9:$D$311,4,FALSE)</f>
        <v>1.8939048282922821E-3</v>
      </c>
      <c r="E255" s="81">
        <f>VLOOKUP(A255,Contributions_21!$A$9:$D$310,4,FALSE)</f>
        <v>2.0035999999999999E-3</v>
      </c>
      <c r="F255" s="26"/>
      <c r="G255" s="82">
        <f t="shared" si="24"/>
        <v>-481794</v>
      </c>
      <c r="H255" s="146">
        <f t="shared" si="23"/>
        <v>-81799</v>
      </c>
      <c r="I255" s="146">
        <f t="shared" si="25"/>
        <v>-399995</v>
      </c>
      <c r="J255" s="146"/>
      <c r="K255" s="25"/>
      <c r="L255" s="84">
        <f t="shared" si="21"/>
        <v>-81799</v>
      </c>
      <c r="M255" s="84">
        <f t="shared" si="21"/>
        <v>-81799</v>
      </c>
      <c r="N255" s="84">
        <f t="shared" si="21"/>
        <v>-81799</v>
      </c>
      <c r="O255" s="84">
        <f t="shared" si="21"/>
        <v>-81799</v>
      </c>
      <c r="P255" s="85">
        <f t="shared" si="22"/>
        <v>-72799</v>
      </c>
      <c r="Q255" s="85">
        <f t="shared" si="20"/>
        <v>0</v>
      </c>
    </row>
    <row r="256" spans="1:17">
      <c r="A256" s="166">
        <v>20415</v>
      </c>
      <c r="B256" s="167" t="s">
        <v>247</v>
      </c>
      <c r="C256" s="56">
        <f>VLOOKUP(A256,'Contribution Allocation_Report'!$A$9:$D$311,4,FALSE)</f>
        <v>2.2959017381225355E-4</v>
      </c>
      <c r="E256" s="81">
        <f>VLOOKUP(A256,Contributions_21!$A$9:$D$310,4,FALSE)</f>
        <v>1.8689999999999999E-4</v>
      </c>
      <c r="F256" s="26"/>
      <c r="G256" s="82">
        <f t="shared" si="24"/>
        <v>187500</v>
      </c>
      <c r="H256" s="146">
        <f t="shared" si="23"/>
        <v>31834</v>
      </c>
      <c r="I256" s="146">
        <f t="shared" si="25"/>
        <v>155666</v>
      </c>
      <c r="J256" s="146"/>
      <c r="K256" s="25"/>
      <c r="L256" s="84">
        <f t="shared" si="21"/>
        <v>31834</v>
      </c>
      <c r="M256" s="84">
        <f t="shared" si="21"/>
        <v>31834</v>
      </c>
      <c r="N256" s="84">
        <f t="shared" si="21"/>
        <v>31834</v>
      </c>
      <c r="O256" s="84">
        <f t="shared" si="21"/>
        <v>31834</v>
      </c>
      <c r="P256" s="85">
        <f t="shared" si="22"/>
        <v>28330</v>
      </c>
      <c r="Q256" s="85">
        <f t="shared" si="20"/>
        <v>0</v>
      </c>
    </row>
    <row r="257" spans="1:17">
      <c r="A257" s="164">
        <v>20435</v>
      </c>
      <c r="B257" s="168" t="s">
        <v>435</v>
      </c>
      <c r="C257" s="57">
        <f>VLOOKUP(A257,'Contribution Allocation_Report'!$A$9:$D$311,4,FALSE)</f>
        <v>2.879155084534919E-4</v>
      </c>
      <c r="E257" s="81">
        <f>VLOOKUP(A257,Contributions_21!$A$9:$D$310,4,FALSE)</f>
        <v>2.284E-4</v>
      </c>
      <c r="F257" s="26"/>
      <c r="G257" s="82">
        <f t="shared" si="24"/>
        <v>261399</v>
      </c>
      <c r="H257" s="146">
        <f t="shared" si="23"/>
        <v>44380</v>
      </c>
      <c r="I257" s="146">
        <f t="shared" si="25"/>
        <v>217019</v>
      </c>
      <c r="J257" s="146"/>
      <c r="K257" s="25"/>
      <c r="L257" s="84">
        <f t="shared" si="21"/>
        <v>44380</v>
      </c>
      <c r="M257" s="84">
        <f t="shared" si="21"/>
        <v>44380</v>
      </c>
      <c r="N257" s="84">
        <f t="shared" si="21"/>
        <v>44380</v>
      </c>
      <c r="O257" s="84">
        <f t="shared" si="21"/>
        <v>44380</v>
      </c>
      <c r="P257" s="85">
        <f t="shared" si="22"/>
        <v>39499</v>
      </c>
      <c r="Q257" s="85">
        <f t="shared" si="20"/>
        <v>0</v>
      </c>
    </row>
    <row r="258" spans="1:17">
      <c r="A258" s="166">
        <v>20062</v>
      </c>
      <c r="B258" s="167" t="s">
        <v>248</v>
      </c>
      <c r="C258" s="56">
        <f>VLOOKUP(A258,'Contribution Allocation_Report'!$A$9:$D$311,4,FALSE)</f>
        <v>2.9434458458078181E-3</v>
      </c>
      <c r="E258" s="81">
        <f>VLOOKUP(A258,Contributions_21!$A$9:$D$310,4,FALSE)</f>
        <v>3.1367999999999999E-3</v>
      </c>
      <c r="F258" s="26"/>
      <c r="G258" s="82">
        <f t="shared" si="24"/>
        <v>-849234</v>
      </c>
      <c r="H258" s="146">
        <f t="shared" si="23"/>
        <v>-144182</v>
      </c>
      <c r="I258" s="146">
        <f t="shared" si="25"/>
        <v>-705052</v>
      </c>
      <c r="J258" s="146"/>
      <c r="K258" s="25"/>
      <c r="L258" s="84">
        <f t="shared" si="21"/>
        <v>-144182</v>
      </c>
      <c r="M258" s="84">
        <f t="shared" si="21"/>
        <v>-144182</v>
      </c>
      <c r="N258" s="84">
        <f t="shared" si="21"/>
        <v>-144182</v>
      </c>
      <c r="O258" s="84">
        <f t="shared" si="21"/>
        <v>-144182</v>
      </c>
      <c r="P258" s="85">
        <f t="shared" si="22"/>
        <v>-128324</v>
      </c>
      <c r="Q258" s="85">
        <f t="shared" si="20"/>
        <v>0</v>
      </c>
    </row>
    <row r="259" spans="1:17">
      <c r="A259" s="164">
        <v>6020</v>
      </c>
      <c r="B259" s="168" t="s">
        <v>249</v>
      </c>
      <c r="C259" s="57">
        <f>VLOOKUP(A259,'Contribution Allocation_Report'!$A$9:$D$311,4,FALSE)</f>
        <v>5.7305502629621092E-4</v>
      </c>
      <c r="E259" s="81">
        <f>VLOOKUP(A259,Contributions_21!$A$9:$D$310,4,FALSE)</f>
        <v>5.9380000000000001E-4</v>
      </c>
      <c r="F259" s="26"/>
      <c r="G259" s="82">
        <f t="shared" si="24"/>
        <v>-91114</v>
      </c>
      <c r="H259" s="146">
        <f t="shared" si="23"/>
        <v>-15469</v>
      </c>
      <c r="I259" s="146">
        <f t="shared" si="25"/>
        <v>-75645</v>
      </c>
      <c r="J259" s="146"/>
      <c r="K259" s="25"/>
      <c r="L259" s="84">
        <f t="shared" si="21"/>
        <v>-15469</v>
      </c>
      <c r="M259" s="84">
        <f t="shared" si="21"/>
        <v>-15469</v>
      </c>
      <c r="N259" s="84">
        <f t="shared" si="21"/>
        <v>-15469</v>
      </c>
      <c r="O259" s="84">
        <f t="shared" si="21"/>
        <v>-15469</v>
      </c>
      <c r="P259" s="85">
        <f t="shared" si="22"/>
        <v>-13769</v>
      </c>
      <c r="Q259" s="85">
        <f t="shared" si="20"/>
        <v>0</v>
      </c>
    </row>
    <row r="260" spans="1:17">
      <c r="A260" s="166">
        <v>2394</v>
      </c>
      <c r="B260" s="167" t="s">
        <v>250</v>
      </c>
      <c r="C260" s="56">
        <f>VLOOKUP(A260,'Contribution Allocation_Report'!$A$9:$D$311,4,FALSE)</f>
        <v>3.4214576474692347E-4</v>
      </c>
      <c r="E260" s="81">
        <f>VLOOKUP(A260,Contributions_21!$A$9:$D$310,4,FALSE)</f>
        <v>3.1110000000000003E-4</v>
      </c>
      <c r="F260" s="26"/>
      <c r="G260" s="82">
        <f t="shared" si="24"/>
        <v>136357</v>
      </c>
      <c r="H260" s="146">
        <f t="shared" si="23"/>
        <v>23151</v>
      </c>
      <c r="I260" s="146">
        <f t="shared" si="25"/>
        <v>113206</v>
      </c>
      <c r="J260" s="146"/>
      <c r="K260" s="25"/>
      <c r="L260" s="84">
        <f t="shared" si="21"/>
        <v>23151</v>
      </c>
      <c r="M260" s="84">
        <f t="shared" si="21"/>
        <v>23151</v>
      </c>
      <c r="N260" s="84">
        <f t="shared" si="21"/>
        <v>23151</v>
      </c>
      <c r="O260" s="84">
        <f t="shared" si="21"/>
        <v>23151</v>
      </c>
      <c r="P260" s="85">
        <f t="shared" si="22"/>
        <v>20602</v>
      </c>
      <c r="Q260" s="85">
        <f t="shared" si="20"/>
        <v>0</v>
      </c>
    </row>
    <row r="261" spans="1:17">
      <c r="A261" s="164">
        <v>5015</v>
      </c>
      <c r="B261" s="168" t="s">
        <v>251</v>
      </c>
      <c r="C261" s="57">
        <f>VLOOKUP(A261,'Contribution Allocation_Report'!$A$9:$D$311,4,FALSE)</f>
        <v>8.2780630649546957E-4</v>
      </c>
      <c r="E261" s="81">
        <f>VLOOKUP(A261,Contributions_21!$A$9:$D$310,4,FALSE)</f>
        <v>8.4480000000000004E-4</v>
      </c>
      <c r="F261" s="26"/>
      <c r="G261" s="82">
        <f t="shared" si="24"/>
        <v>-74638</v>
      </c>
      <c r="H261" s="146">
        <f t="shared" si="23"/>
        <v>-12672</v>
      </c>
      <c r="I261" s="146">
        <f t="shared" si="25"/>
        <v>-61966</v>
      </c>
      <c r="J261" s="146"/>
      <c r="K261" s="25"/>
      <c r="L261" s="84">
        <f t="shared" si="21"/>
        <v>-12672</v>
      </c>
      <c r="M261" s="84">
        <f t="shared" si="21"/>
        <v>-12672</v>
      </c>
      <c r="N261" s="84">
        <f t="shared" si="21"/>
        <v>-12672</v>
      </c>
      <c r="O261" s="84">
        <f t="shared" si="21"/>
        <v>-12672</v>
      </c>
      <c r="P261" s="85">
        <f t="shared" si="22"/>
        <v>-11278</v>
      </c>
      <c r="Q261" s="85">
        <f t="shared" si="20"/>
        <v>0</v>
      </c>
    </row>
    <row r="262" spans="1:17">
      <c r="A262" s="166">
        <v>29408</v>
      </c>
      <c r="B262" s="167" t="s">
        <v>252</v>
      </c>
      <c r="C262" s="56">
        <f>VLOOKUP(A262,'Contribution Allocation_Report'!$A$9:$D$311,4,FALSE)</f>
        <v>5.360319742142367E-4</v>
      </c>
      <c r="E262" s="81">
        <f>VLOOKUP(A262,Contributions_21!$A$9:$D$310,4,FALSE)</f>
        <v>5.6229999999999995E-4</v>
      </c>
      <c r="F262" s="26"/>
      <c r="G262" s="82">
        <f t="shared" si="24"/>
        <v>-115372</v>
      </c>
      <c r="H262" s="146">
        <f t="shared" si="23"/>
        <v>-19588</v>
      </c>
      <c r="I262" s="146">
        <f t="shared" si="25"/>
        <v>-95784</v>
      </c>
      <c r="J262" s="146"/>
      <c r="K262" s="25"/>
      <c r="L262" s="84">
        <f t="shared" ref="L262:O319" si="28">ROUND($I262/4.89,0)</f>
        <v>-19588</v>
      </c>
      <c r="M262" s="84">
        <f t="shared" si="28"/>
        <v>-19588</v>
      </c>
      <c r="N262" s="84">
        <f t="shared" si="28"/>
        <v>-19588</v>
      </c>
      <c r="O262" s="84">
        <f t="shared" si="28"/>
        <v>-19588</v>
      </c>
      <c r="P262" s="85">
        <f t="shared" si="22"/>
        <v>-17432</v>
      </c>
      <c r="Q262" s="85">
        <f t="shared" si="20"/>
        <v>0</v>
      </c>
    </row>
    <row r="263" spans="1:17">
      <c r="A263" s="164">
        <v>2413</v>
      </c>
      <c r="B263" s="168" t="s">
        <v>253</v>
      </c>
      <c r="C263" s="57">
        <f>VLOOKUP(A263,'Contribution Allocation_Report'!$A$9:$D$311,4,FALSE)</f>
        <v>1.1615847236567302E-4</v>
      </c>
      <c r="E263" s="81">
        <f>VLOOKUP(A263,Contributions_21!$A$9:$D$310,4,FALSE)</f>
        <v>1.4469999999999999E-4</v>
      </c>
      <c r="F263" s="26"/>
      <c r="G263" s="82">
        <f t="shared" si="24"/>
        <v>-125358</v>
      </c>
      <c r="H263" s="146">
        <f t="shared" ref="H263:H319" si="29">ROUND(G263/5.89,0)</f>
        <v>-21283</v>
      </c>
      <c r="I263" s="146">
        <f t="shared" si="25"/>
        <v>-104075</v>
      </c>
      <c r="J263" s="146"/>
      <c r="K263" s="25"/>
      <c r="L263" s="84">
        <f t="shared" si="28"/>
        <v>-21283</v>
      </c>
      <c r="M263" s="84">
        <f t="shared" si="28"/>
        <v>-21283</v>
      </c>
      <c r="N263" s="84">
        <f t="shared" si="28"/>
        <v>-21283</v>
      </c>
      <c r="O263" s="84">
        <f t="shared" si="28"/>
        <v>-21283</v>
      </c>
      <c r="P263" s="85">
        <f t="shared" si="22"/>
        <v>-18943</v>
      </c>
      <c r="Q263" s="85">
        <f t="shared" ref="Q263:Q307" si="30">+I263-SUM(L263:P263)</f>
        <v>0</v>
      </c>
    </row>
    <row r="264" spans="1:17">
      <c r="A264" s="166">
        <v>1398</v>
      </c>
      <c r="B264" s="167" t="s">
        <v>254</v>
      </c>
      <c r="C264" s="56">
        <f>VLOOKUP(A264,'Contribution Allocation_Report'!$A$9:$D$311,4,FALSE)</f>
        <v>2.1675367822201306E-4</v>
      </c>
      <c r="E264" s="81">
        <f>VLOOKUP(A264,Contributions_21!$A$9:$D$310,4,FALSE)</f>
        <v>2.6069999999999999E-4</v>
      </c>
      <c r="F264" s="26"/>
      <c r="G264" s="82">
        <f t="shared" si="24"/>
        <v>-193017</v>
      </c>
      <c r="H264" s="146">
        <f t="shared" si="29"/>
        <v>-32770</v>
      </c>
      <c r="I264" s="146">
        <f t="shared" si="25"/>
        <v>-160247</v>
      </c>
      <c r="J264" s="146"/>
      <c r="K264" s="25"/>
      <c r="L264" s="84">
        <f t="shared" si="28"/>
        <v>-32770</v>
      </c>
      <c r="M264" s="84">
        <f t="shared" si="28"/>
        <v>-32770</v>
      </c>
      <c r="N264" s="84">
        <f t="shared" si="28"/>
        <v>-32770</v>
      </c>
      <c r="O264" s="84">
        <f t="shared" si="28"/>
        <v>-32770</v>
      </c>
      <c r="P264" s="85">
        <f t="shared" ref="P264:P309" si="31">I264-SUM(L264:O264)</f>
        <v>-29167</v>
      </c>
      <c r="Q264" s="85">
        <f t="shared" si="30"/>
        <v>0</v>
      </c>
    </row>
    <row r="265" spans="1:17">
      <c r="A265" s="164">
        <v>2366</v>
      </c>
      <c r="B265" s="168" t="s">
        <v>255</v>
      </c>
      <c r="C265" s="57">
        <f>VLOOKUP(A265,'Contribution Allocation_Report'!$A$9:$D$311,4,FALSE)</f>
        <v>2.3361634459170778E-4</v>
      </c>
      <c r="E265" s="81">
        <f>VLOOKUP(A265,Contributions_21!$A$9:$D$310,4,FALSE)</f>
        <v>2.744E-4</v>
      </c>
      <c r="F265" s="26"/>
      <c r="G265" s="82">
        <f t="shared" si="24"/>
        <v>-179127</v>
      </c>
      <c r="H265" s="146">
        <f t="shared" si="29"/>
        <v>-30412</v>
      </c>
      <c r="I265" s="146">
        <f t="shared" si="25"/>
        <v>-148715</v>
      </c>
      <c r="J265" s="146"/>
      <c r="K265" s="25"/>
      <c r="L265" s="84">
        <f t="shared" si="28"/>
        <v>-30412</v>
      </c>
      <c r="M265" s="84">
        <f t="shared" si="28"/>
        <v>-30412</v>
      </c>
      <c r="N265" s="84">
        <f t="shared" si="28"/>
        <v>-30412</v>
      </c>
      <c r="O265" s="84">
        <f t="shared" si="28"/>
        <v>-30412</v>
      </c>
      <c r="P265" s="85">
        <f t="shared" si="31"/>
        <v>-27067</v>
      </c>
      <c r="Q265" s="85">
        <f t="shared" si="30"/>
        <v>0</v>
      </c>
    </row>
    <row r="266" spans="1:17">
      <c r="A266" s="166">
        <v>7421</v>
      </c>
      <c r="B266" s="167" t="s">
        <v>256</v>
      </c>
      <c r="C266" s="56">
        <f>VLOOKUP(A266,'Contribution Allocation_Report'!$A$9:$D$311,4,FALSE)</f>
        <v>2.3518153078714356E-4</v>
      </c>
      <c r="E266" s="81">
        <f>VLOOKUP(A266,Contributions_21!$A$9:$D$310,4,FALSE)</f>
        <v>2.117E-4</v>
      </c>
      <c r="F266" s="26"/>
      <c r="G266" s="82">
        <f t="shared" ref="G266:G309" si="32">ROUND((E266-C266)*$G$326,0)</f>
        <v>103134</v>
      </c>
      <c r="H266" s="146">
        <f t="shared" si="29"/>
        <v>17510</v>
      </c>
      <c r="I266" s="146">
        <f t="shared" ref="I266:I310" si="33">G266-H266</f>
        <v>85624</v>
      </c>
      <c r="J266" s="146"/>
      <c r="K266" s="25"/>
      <c r="L266" s="84">
        <f t="shared" si="28"/>
        <v>17510</v>
      </c>
      <c r="M266" s="84">
        <f t="shared" si="28"/>
        <v>17510</v>
      </c>
      <c r="N266" s="84">
        <f t="shared" si="28"/>
        <v>17510</v>
      </c>
      <c r="O266" s="84">
        <f t="shared" si="28"/>
        <v>17510</v>
      </c>
      <c r="P266" s="85">
        <f t="shared" si="31"/>
        <v>15584</v>
      </c>
      <c r="Q266" s="85">
        <f t="shared" si="30"/>
        <v>0</v>
      </c>
    </row>
    <row r="267" spans="1:17">
      <c r="A267" s="164">
        <v>1425</v>
      </c>
      <c r="B267" s="168" t="s">
        <v>534</v>
      </c>
      <c r="C267" s="57">
        <f>VLOOKUP(A267,'Contribution Allocation_Report'!$A$9:$D$311,4,FALSE)</f>
        <v>1.1960385078329891E-5</v>
      </c>
      <c r="E267" s="81">
        <v>0</v>
      </c>
      <c r="F267" s="26"/>
      <c r="G267" s="82">
        <f t="shared" si="32"/>
        <v>52531</v>
      </c>
      <c r="H267" s="146">
        <f t="shared" si="29"/>
        <v>8919</v>
      </c>
      <c r="I267" s="146">
        <f t="shared" si="33"/>
        <v>43612</v>
      </c>
      <c r="J267" s="146"/>
      <c r="K267" s="25"/>
      <c r="L267" s="84">
        <f t="shared" si="28"/>
        <v>8919</v>
      </c>
      <c r="M267" s="84">
        <f t="shared" si="28"/>
        <v>8919</v>
      </c>
      <c r="N267" s="84">
        <f t="shared" si="28"/>
        <v>8919</v>
      </c>
      <c r="O267" s="84">
        <f t="shared" si="28"/>
        <v>8919</v>
      </c>
      <c r="P267" s="85">
        <f t="shared" si="31"/>
        <v>7936</v>
      </c>
      <c r="Q267" s="85">
        <f t="shared" si="30"/>
        <v>0</v>
      </c>
    </row>
    <row r="268" spans="1:17">
      <c r="A268" s="166">
        <v>2370</v>
      </c>
      <c r="B268" s="167" t="s">
        <v>257</v>
      </c>
      <c r="C268" s="56">
        <f>VLOOKUP(A268,'Contribution Allocation_Report'!$A$9:$D$311,4,FALSE)</f>
        <v>3.554055496856151E-4</v>
      </c>
      <c r="E268" s="81">
        <f>VLOOKUP(A268,Contributions_21!$A$9:$D$310,4,FALSE)</f>
        <v>4.014E-4</v>
      </c>
      <c r="F268" s="26"/>
      <c r="G268" s="82">
        <f t="shared" si="32"/>
        <v>-202013</v>
      </c>
      <c r="H268" s="146">
        <f t="shared" si="29"/>
        <v>-34298</v>
      </c>
      <c r="I268" s="146">
        <f t="shared" si="33"/>
        <v>-167715</v>
      </c>
      <c r="J268" s="146"/>
      <c r="K268" s="25"/>
      <c r="L268" s="84">
        <f t="shared" si="28"/>
        <v>-34298</v>
      </c>
      <c r="M268" s="84">
        <f t="shared" si="28"/>
        <v>-34298</v>
      </c>
      <c r="N268" s="84">
        <f t="shared" si="28"/>
        <v>-34298</v>
      </c>
      <c r="O268" s="84">
        <f t="shared" si="28"/>
        <v>-34298</v>
      </c>
      <c r="P268" s="85">
        <f t="shared" si="31"/>
        <v>-30523</v>
      </c>
      <c r="Q268" s="85">
        <f t="shared" si="30"/>
        <v>0</v>
      </c>
    </row>
    <row r="269" spans="1:17">
      <c r="A269" s="164">
        <v>32094</v>
      </c>
      <c r="B269" s="168" t="s">
        <v>258</v>
      </c>
      <c r="C269" s="57">
        <f>VLOOKUP(A269,'Contribution Allocation_Report'!$A$9:$D$311,4,FALSE)</f>
        <v>4.1970615489685039E-4</v>
      </c>
      <c r="E269" s="81">
        <f>VLOOKUP(A269,Contributions_21!$A$9:$D$310,4,FALSE)</f>
        <v>4.0910000000000002E-4</v>
      </c>
      <c r="F269" s="26"/>
      <c r="G269" s="82">
        <f t="shared" si="32"/>
        <v>46583</v>
      </c>
      <c r="H269" s="146">
        <f t="shared" si="29"/>
        <v>7909</v>
      </c>
      <c r="I269" s="146">
        <f t="shared" si="33"/>
        <v>38674</v>
      </c>
      <c r="J269" s="146"/>
      <c r="K269" s="25"/>
      <c r="L269" s="84">
        <f t="shared" si="28"/>
        <v>7909</v>
      </c>
      <c r="M269" s="84">
        <f t="shared" si="28"/>
        <v>7909</v>
      </c>
      <c r="N269" s="84">
        <f t="shared" si="28"/>
        <v>7909</v>
      </c>
      <c r="O269" s="84">
        <f t="shared" si="28"/>
        <v>7909</v>
      </c>
      <c r="P269" s="85">
        <f t="shared" si="31"/>
        <v>7038</v>
      </c>
      <c r="Q269" s="85">
        <f t="shared" si="30"/>
        <v>0</v>
      </c>
    </row>
    <row r="270" spans="1:17">
      <c r="A270" s="166">
        <v>2790</v>
      </c>
      <c r="B270" s="167" t="s">
        <v>259</v>
      </c>
      <c r="C270" s="56">
        <f>VLOOKUP(A270,'Contribution Allocation_Report'!$A$9:$D$311,4,FALSE)</f>
        <v>4.474069973745626E-5</v>
      </c>
      <c r="E270" s="81">
        <f>VLOOKUP(A270,Contributions_21!$A$9:$D$310,4,FALSE)</f>
        <v>4.5300000000000003E-5</v>
      </c>
      <c r="F270" s="26"/>
      <c r="G270" s="82">
        <f t="shared" si="32"/>
        <v>-2457</v>
      </c>
      <c r="H270" s="146">
        <f t="shared" si="29"/>
        <v>-417</v>
      </c>
      <c r="I270" s="146">
        <f t="shared" si="33"/>
        <v>-2040</v>
      </c>
      <c r="J270" s="146"/>
      <c r="K270" s="25"/>
      <c r="L270" s="84">
        <f t="shared" si="28"/>
        <v>-417</v>
      </c>
      <c r="M270" s="84">
        <f t="shared" si="28"/>
        <v>-417</v>
      </c>
      <c r="N270" s="84">
        <f t="shared" si="28"/>
        <v>-417</v>
      </c>
      <c r="O270" s="84">
        <f t="shared" si="28"/>
        <v>-417</v>
      </c>
      <c r="P270" s="85">
        <f t="shared" si="31"/>
        <v>-372</v>
      </c>
      <c r="Q270" s="85">
        <f t="shared" si="30"/>
        <v>0</v>
      </c>
    </row>
    <row r="271" spans="1:17">
      <c r="A271" s="164">
        <v>3330</v>
      </c>
      <c r="B271" s="168" t="s">
        <v>260</v>
      </c>
      <c r="C271" s="57">
        <f>VLOOKUP(A271,'Contribution Allocation_Report'!$A$9:$D$311,4,FALSE)</f>
        <v>9.2506441725588053E-4</v>
      </c>
      <c r="E271" s="81">
        <f>VLOOKUP(A271,Contributions_21!$A$9:$D$310,4,FALSE)</f>
        <v>9.077E-4</v>
      </c>
      <c r="F271" s="26"/>
      <c r="G271" s="82">
        <f t="shared" si="32"/>
        <v>76267</v>
      </c>
      <c r="H271" s="146">
        <f t="shared" si="29"/>
        <v>12949</v>
      </c>
      <c r="I271" s="146">
        <f t="shared" si="33"/>
        <v>63318</v>
      </c>
      <c r="J271" s="146"/>
      <c r="K271" s="25"/>
      <c r="L271" s="84">
        <f t="shared" si="28"/>
        <v>12948</v>
      </c>
      <c r="M271" s="84">
        <f t="shared" si="28"/>
        <v>12948</v>
      </c>
      <c r="N271" s="84">
        <f t="shared" si="28"/>
        <v>12948</v>
      </c>
      <c r="O271" s="84">
        <f t="shared" si="28"/>
        <v>12948</v>
      </c>
      <c r="P271" s="85">
        <f t="shared" si="31"/>
        <v>11526</v>
      </c>
      <c r="Q271" s="85">
        <f t="shared" si="30"/>
        <v>0</v>
      </c>
    </row>
    <row r="272" spans="1:17">
      <c r="A272" s="166">
        <v>2080</v>
      </c>
      <c r="B272" s="167" t="s">
        <v>261</v>
      </c>
      <c r="C272" s="56">
        <f>VLOOKUP(A272,'Contribution Allocation_Report'!$A$9:$D$311,4,FALSE)</f>
        <v>1.0268212078358772E-3</v>
      </c>
      <c r="E272" s="81">
        <f>VLOOKUP(A272,Contributions_21!$A$9:$D$310,4,FALSE)</f>
        <v>1.0357000000000001E-3</v>
      </c>
      <c r="F272" s="26"/>
      <c r="G272" s="82">
        <f t="shared" si="32"/>
        <v>-38997</v>
      </c>
      <c r="H272" s="146">
        <f t="shared" si="29"/>
        <v>-6621</v>
      </c>
      <c r="I272" s="146">
        <f t="shared" si="33"/>
        <v>-32376</v>
      </c>
      <c r="J272" s="146"/>
      <c r="K272" s="25"/>
      <c r="L272" s="84">
        <f t="shared" si="28"/>
        <v>-6621</v>
      </c>
      <c r="M272" s="84">
        <f t="shared" si="28"/>
        <v>-6621</v>
      </c>
      <c r="N272" s="84">
        <f t="shared" si="28"/>
        <v>-6621</v>
      </c>
      <c r="O272" s="84">
        <f t="shared" si="28"/>
        <v>-6621</v>
      </c>
      <c r="P272" s="85">
        <f t="shared" si="31"/>
        <v>-5892</v>
      </c>
      <c r="Q272" s="85">
        <f t="shared" si="30"/>
        <v>0</v>
      </c>
    </row>
    <row r="273" spans="1:17">
      <c r="A273" s="164">
        <v>4290</v>
      </c>
      <c r="B273" s="168" t="s">
        <v>262</v>
      </c>
      <c r="C273" s="57">
        <f>VLOOKUP(A273,'Contribution Allocation_Report'!$A$9:$D$311,4,FALSE)</f>
        <v>3.4206701324023485E-4</v>
      </c>
      <c r="E273" s="81">
        <f>VLOOKUP(A273,Contributions_21!$A$9:$D$310,4,FALSE)</f>
        <v>3.4089999999999999E-4</v>
      </c>
      <c r="F273" s="26"/>
      <c r="G273" s="82">
        <f t="shared" si="32"/>
        <v>5126</v>
      </c>
      <c r="H273" s="146">
        <f t="shared" si="29"/>
        <v>870</v>
      </c>
      <c r="I273" s="146">
        <f t="shared" si="33"/>
        <v>4256</v>
      </c>
      <c r="J273" s="146"/>
      <c r="K273" s="25"/>
      <c r="L273" s="84">
        <f t="shared" si="28"/>
        <v>870</v>
      </c>
      <c r="M273" s="84">
        <f t="shared" si="28"/>
        <v>870</v>
      </c>
      <c r="N273" s="84">
        <f t="shared" si="28"/>
        <v>870</v>
      </c>
      <c r="O273" s="84">
        <f t="shared" si="28"/>
        <v>870</v>
      </c>
      <c r="P273" s="85">
        <f t="shared" si="31"/>
        <v>776</v>
      </c>
      <c r="Q273" s="85">
        <f t="shared" si="30"/>
        <v>0</v>
      </c>
    </row>
    <row r="274" spans="1:17">
      <c r="A274" s="166">
        <v>2270</v>
      </c>
      <c r="B274" s="167" t="s">
        <v>263</v>
      </c>
      <c r="C274" s="56">
        <f>VLOOKUP(A274,'Contribution Allocation_Report'!$A$9:$D$311,4,FALSE)</f>
        <v>1.6793758801342218E-5</v>
      </c>
      <c r="E274" s="81">
        <f>VLOOKUP(A274,Contributions_21!$A$9:$D$310,4,FALSE)</f>
        <v>1.9400000000000001E-5</v>
      </c>
      <c r="F274" s="26"/>
      <c r="G274" s="82">
        <f t="shared" si="32"/>
        <v>-11447</v>
      </c>
      <c r="H274" s="146">
        <f t="shared" si="29"/>
        <v>-1943</v>
      </c>
      <c r="I274" s="146">
        <f t="shared" si="33"/>
        <v>-9504</v>
      </c>
      <c r="J274" s="146"/>
      <c r="K274" s="25"/>
      <c r="L274" s="84">
        <f t="shared" si="28"/>
        <v>-1944</v>
      </c>
      <c r="M274" s="84">
        <f t="shared" si="28"/>
        <v>-1944</v>
      </c>
      <c r="N274" s="84">
        <f t="shared" si="28"/>
        <v>-1944</v>
      </c>
      <c r="O274" s="84">
        <f t="shared" si="28"/>
        <v>-1944</v>
      </c>
      <c r="P274" s="85">
        <f t="shared" si="31"/>
        <v>-1728</v>
      </c>
      <c r="Q274" s="85">
        <f t="shared" si="30"/>
        <v>0</v>
      </c>
    </row>
    <row r="275" spans="1:17">
      <c r="A275" s="164">
        <v>2300</v>
      </c>
      <c r="B275" s="168" t="s">
        <v>264</v>
      </c>
      <c r="C275" s="57">
        <f>VLOOKUP(A275,'Contribution Allocation_Report'!$A$9:$D$311,4,FALSE)</f>
        <v>9.8439383360739838E-5</v>
      </c>
      <c r="E275" s="81">
        <f>VLOOKUP(A275,Contributions_21!$A$9:$D$310,4,FALSE)</f>
        <v>9.1500000000000001E-5</v>
      </c>
      <c r="F275" s="26"/>
      <c r="G275" s="82">
        <f t="shared" si="32"/>
        <v>30479</v>
      </c>
      <c r="H275" s="146">
        <f t="shared" si="29"/>
        <v>5175</v>
      </c>
      <c r="I275" s="146">
        <f t="shared" si="33"/>
        <v>25304</v>
      </c>
      <c r="J275" s="146"/>
      <c r="K275" s="25"/>
      <c r="L275" s="84">
        <f t="shared" si="28"/>
        <v>5175</v>
      </c>
      <c r="M275" s="84">
        <f t="shared" si="28"/>
        <v>5175</v>
      </c>
      <c r="N275" s="84">
        <f t="shared" si="28"/>
        <v>5175</v>
      </c>
      <c r="O275" s="84">
        <f t="shared" si="28"/>
        <v>5175</v>
      </c>
      <c r="P275" s="85">
        <f t="shared" si="31"/>
        <v>4604</v>
      </c>
      <c r="Q275" s="85">
        <f t="shared" si="30"/>
        <v>0</v>
      </c>
    </row>
    <row r="276" spans="1:17">
      <c r="A276" s="166">
        <v>2720</v>
      </c>
      <c r="B276" s="167" t="s">
        <v>265</v>
      </c>
      <c r="C276" s="56">
        <f>VLOOKUP(A276,'Contribution Allocation_Report'!$A$9:$D$311,4,FALSE)</f>
        <v>1.3667028667655038E-3</v>
      </c>
      <c r="E276" s="81">
        <f>VLOOKUP(A276,Contributions_21!$A$9:$D$310,4,FALSE)</f>
        <v>1.3488E-3</v>
      </c>
      <c r="F276" s="26"/>
      <c r="G276" s="82">
        <f t="shared" si="32"/>
        <v>78631</v>
      </c>
      <c r="H276" s="146">
        <f t="shared" si="29"/>
        <v>13350</v>
      </c>
      <c r="I276" s="146">
        <f t="shared" si="33"/>
        <v>65281</v>
      </c>
      <c r="J276" s="146"/>
      <c r="K276" s="25"/>
      <c r="L276" s="84">
        <f t="shared" si="28"/>
        <v>13350</v>
      </c>
      <c r="M276" s="84">
        <f t="shared" si="28"/>
        <v>13350</v>
      </c>
      <c r="N276" s="84">
        <f t="shared" si="28"/>
        <v>13350</v>
      </c>
      <c r="O276" s="84">
        <f t="shared" si="28"/>
        <v>13350</v>
      </c>
      <c r="P276" s="85">
        <f t="shared" si="31"/>
        <v>11881</v>
      </c>
      <c r="Q276" s="85">
        <f t="shared" si="30"/>
        <v>0</v>
      </c>
    </row>
    <row r="277" spans="1:17">
      <c r="A277" s="164">
        <v>2750</v>
      </c>
      <c r="B277" s="168" t="s">
        <v>266</v>
      </c>
      <c r="C277" s="57">
        <f>VLOOKUP(A277,'Contribution Allocation_Report'!$A$9:$D$311,4,FALSE)</f>
        <v>1.0245571020185802E-4</v>
      </c>
      <c r="E277" s="81">
        <f>VLOOKUP(A277,Contributions_21!$A$9:$D$310,4,FALSE)</f>
        <v>8.8700000000000001E-5</v>
      </c>
      <c r="F277" s="26"/>
      <c r="G277" s="82">
        <f t="shared" si="32"/>
        <v>60417</v>
      </c>
      <c r="H277" s="146">
        <f t="shared" si="29"/>
        <v>10258</v>
      </c>
      <c r="I277" s="146">
        <f t="shared" si="33"/>
        <v>50159</v>
      </c>
      <c r="J277" s="146"/>
      <c r="K277" s="25"/>
      <c r="L277" s="84">
        <f t="shared" si="28"/>
        <v>10257</v>
      </c>
      <c r="M277" s="84">
        <f t="shared" si="28"/>
        <v>10257</v>
      </c>
      <c r="N277" s="84">
        <f t="shared" si="28"/>
        <v>10257</v>
      </c>
      <c r="O277" s="84">
        <f t="shared" si="28"/>
        <v>10257</v>
      </c>
      <c r="P277" s="85">
        <f t="shared" si="31"/>
        <v>9131</v>
      </c>
      <c r="Q277" s="85">
        <f t="shared" si="30"/>
        <v>0</v>
      </c>
    </row>
    <row r="278" spans="1:17">
      <c r="A278" s="166">
        <v>2770</v>
      </c>
      <c r="B278" s="167" t="s">
        <v>267</v>
      </c>
      <c r="C278" s="56">
        <f>VLOOKUP(A278,'Contribution Allocation_Report'!$A$9:$D$311,4,FALSE)</f>
        <v>1.1550188167865688E-3</v>
      </c>
      <c r="E278" s="81">
        <f>VLOOKUP(A278,Contributions_21!$A$9:$D$310,4,FALSE)</f>
        <v>1.0379E-3</v>
      </c>
      <c r="F278" s="26"/>
      <c r="G278" s="82">
        <f t="shared" si="32"/>
        <v>514400</v>
      </c>
      <c r="H278" s="146">
        <f t="shared" si="29"/>
        <v>87334</v>
      </c>
      <c r="I278" s="146">
        <f t="shared" si="33"/>
        <v>427066</v>
      </c>
      <c r="J278" s="146"/>
      <c r="K278" s="25"/>
      <c r="L278" s="84">
        <f t="shared" si="28"/>
        <v>87335</v>
      </c>
      <c r="M278" s="84">
        <f t="shared" si="28"/>
        <v>87335</v>
      </c>
      <c r="N278" s="84">
        <f t="shared" si="28"/>
        <v>87335</v>
      </c>
      <c r="O278" s="84">
        <f t="shared" si="28"/>
        <v>87335</v>
      </c>
      <c r="P278" s="85">
        <f t="shared" si="31"/>
        <v>77726</v>
      </c>
      <c r="Q278" s="85">
        <f t="shared" si="30"/>
        <v>0</v>
      </c>
    </row>
    <row r="279" spans="1:17">
      <c r="A279" s="164">
        <v>32106</v>
      </c>
      <c r="B279" s="168" t="s">
        <v>268</v>
      </c>
      <c r="C279" s="57">
        <f>VLOOKUP(A279,'Contribution Allocation_Report'!$A$9:$D$311,4,FALSE)</f>
        <v>1.4393806635007379E-4</v>
      </c>
      <c r="E279" s="81">
        <f>VLOOKUP(A279,Contributions_21!$A$9:$D$310,4,FALSE)</f>
        <v>1.604E-4</v>
      </c>
      <c r="F279" s="26"/>
      <c r="G279" s="82">
        <f t="shared" si="32"/>
        <v>-72303</v>
      </c>
      <c r="H279" s="146">
        <f t="shared" si="29"/>
        <v>-12276</v>
      </c>
      <c r="I279" s="146">
        <f t="shared" si="33"/>
        <v>-60027</v>
      </c>
      <c r="J279" s="146"/>
      <c r="K279" s="25"/>
      <c r="L279" s="84">
        <f t="shared" si="28"/>
        <v>-12275</v>
      </c>
      <c r="M279" s="84">
        <f t="shared" si="28"/>
        <v>-12275</v>
      </c>
      <c r="N279" s="84">
        <f t="shared" si="28"/>
        <v>-12275</v>
      </c>
      <c r="O279" s="84">
        <f t="shared" si="28"/>
        <v>-12275</v>
      </c>
      <c r="P279" s="85">
        <f t="shared" si="31"/>
        <v>-10927</v>
      </c>
      <c r="Q279" s="85">
        <f t="shared" si="30"/>
        <v>0</v>
      </c>
    </row>
    <row r="280" spans="1:17">
      <c r="A280" s="166">
        <v>4180</v>
      </c>
      <c r="B280" s="167" t="s">
        <v>269</v>
      </c>
      <c r="C280" s="56">
        <f>VLOOKUP(A280,'Contribution Allocation_Report'!$A$9:$D$311,4,FALSE)</f>
        <v>1.409848848492516E-4</v>
      </c>
      <c r="E280" s="81">
        <f>VLOOKUP(A280,Contributions_21!$A$9:$D$310,4,FALSE)</f>
        <v>1.5760000000000001E-4</v>
      </c>
      <c r="F280" s="26"/>
      <c r="G280" s="82">
        <f t="shared" si="32"/>
        <v>-72976</v>
      </c>
      <c r="H280" s="146">
        <f t="shared" si="29"/>
        <v>-12390</v>
      </c>
      <c r="I280" s="146">
        <f t="shared" si="33"/>
        <v>-60586</v>
      </c>
      <c r="J280" s="146"/>
      <c r="K280" s="25"/>
      <c r="L280" s="84">
        <f t="shared" si="28"/>
        <v>-12390</v>
      </c>
      <c r="M280" s="84">
        <f t="shared" si="28"/>
        <v>-12390</v>
      </c>
      <c r="N280" s="84">
        <f t="shared" si="28"/>
        <v>-12390</v>
      </c>
      <c r="O280" s="84">
        <f t="shared" si="28"/>
        <v>-12390</v>
      </c>
      <c r="P280" s="85">
        <f t="shared" si="31"/>
        <v>-11026</v>
      </c>
      <c r="Q280" s="85">
        <f t="shared" si="30"/>
        <v>0</v>
      </c>
    </row>
    <row r="281" spans="1:17">
      <c r="A281" s="164">
        <v>21063</v>
      </c>
      <c r="B281" s="168" t="s">
        <v>270</v>
      </c>
      <c r="C281" s="57">
        <f>VLOOKUP(A281,'Contribution Allocation_Report'!$A$9:$D$311,4,FALSE)</f>
        <v>1.8826039870824692E-3</v>
      </c>
      <c r="E281" s="81">
        <f>VLOOKUP(A281,Contributions_21!$A$9:$D$310,4,FALSE)</f>
        <v>1.8707999999999999E-3</v>
      </c>
      <c r="F281" s="26"/>
      <c r="G281" s="82">
        <f t="shared" si="32"/>
        <v>51844</v>
      </c>
      <c r="H281" s="146">
        <f t="shared" si="29"/>
        <v>8802</v>
      </c>
      <c r="I281" s="146">
        <f t="shared" si="33"/>
        <v>43042</v>
      </c>
      <c r="J281" s="146"/>
      <c r="K281" s="25"/>
      <c r="L281" s="84">
        <f t="shared" si="28"/>
        <v>8802</v>
      </c>
      <c r="M281" s="84">
        <f t="shared" si="28"/>
        <v>8802</v>
      </c>
      <c r="N281" s="84">
        <f t="shared" si="28"/>
        <v>8802</v>
      </c>
      <c r="O281" s="84">
        <f t="shared" si="28"/>
        <v>8802</v>
      </c>
      <c r="P281" s="85">
        <f t="shared" si="31"/>
        <v>7834</v>
      </c>
      <c r="Q281" s="85">
        <f t="shared" si="30"/>
        <v>0</v>
      </c>
    </row>
    <row r="282" spans="1:17">
      <c r="A282" s="166">
        <v>10033</v>
      </c>
      <c r="B282" s="167" t="s">
        <v>271</v>
      </c>
      <c r="C282" s="56">
        <f>VLOOKUP(A282,'Contribution Allocation_Report'!$A$9:$D$311,4,FALSE)</f>
        <v>1.3025499206293096E-3</v>
      </c>
      <c r="E282" s="81">
        <f>VLOOKUP(A282,Contributions_21!$A$9:$D$310,4,FALSE)</f>
        <v>1.3255000000000001E-3</v>
      </c>
      <c r="F282" s="26"/>
      <c r="G282" s="82">
        <f t="shared" si="32"/>
        <v>-100799</v>
      </c>
      <c r="H282" s="146">
        <f t="shared" si="29"/>
        <v>-17114</v>
      </c>
      <c r="I282" s="146">
        <f t="shared" si="33"/>
        <v>-83685</v>
      </c>
      <c r="J282" s="146"/>
      <c r="K282" s="25"/>
      <c r="L282" s="84">
        <f t="shared" si="28"/>
        <v>-17113</v>
      </c>
      <c r="M282" s="84">
        <f t="shared" si="28"/>
        <v>-17113</v>
      </c>
      <c r="N282" s="84">
        <f t="shared" si="28"/>
        <v>-17113</v>
      </c>
      <c r="O282" s="84">
        <f t="shared" si="28"/>
        <v>-17113</v>
      </c>
      <c r="P282" s="85">
        <f t="shared" si="31"/>
        <v>-15233</v>
      </c>
      <c r="Q282" s="85">
        <f t="shared" si="30"/>
        <v>0</v>
      </c>
    </row>
    <row r="283" spans="1:17">
      <c r="A283" s="164">
        <v>15049</v>
      </c>
      <c r="B283" s="168" t="s">
        <v>272</v>
      </c>
      <c r="C283" s="57">
        <f>VLOOKUP(A283,'Contribution Allocation_Report'!$A$9:$D$311,4,FALSE)</f>
        <v>1.3618005854741388E-3</v>
      </c>
      <c r="E283" s="81">
        <f>VLOOKUP(A283,Contributions_21!$A$9:$D$310,4,FALSE)</f>
        <v>1.3225999999999999E-3</v>
      </c>
      <c r="F283" s="26"/>
      <c r="G283" s="82">
        <f t="shared" si="32"/>
        <v>172174</v>
      </c>
      <c r="H283" s="146">
        <f t="shared" si="29"/>
        <v>29232</v>
      </c>
      <c r="I283" s="146">
        <f t="shared" si="33"/>
        <v>142942</v>
      </c>
      <c r="J283" s="146"/>
      <c r="K283" s="25"/>
      <c r="L283" s="84">
        <f t="shared" si="28"/>
        <v>29231</v>
      </c>
      <c r="M283" s="84">
        <f t="shared" si="28"/>
        <v>29231</v>
      </c>
      <c r="N283" s="84">
        <f t="shared" si="28"/>
        <v>29231</v>
      </c>
      <c r="O283" s="84">
        <f t="shared" si="28"/>
        <v>29231</v>
      </c>
      <c r="P283" s="85">
        <f t="shared" si="31"/>
        <v>26018</v>
      </c>
      <c r="Q283" s="85">
        <f t="shared" si="30"/>
        <v>0</v>
      </c>
    </row>
    <row r="284" spans="1:17">
      <c r="A284" s="166">
        <v>1315</v>
      </c>
      <c r="B284" s="167" t="s">
        <v>273</v>
      </c>
      <c r="C284" s="56">
        <f>VLOOKUP(A284,'Contribution Allocation_Report'!$A$9:$D$311,4,FALSE)</f>
        <v>8.8975421044438314E-4</v>
      </c>
      <c r="E284" s="81">
        <f>VLOOKUP(A284,Contributions_21!$A$9:$D$310,4,FALSE)</f>
        <v>7.6579999999999997E-4</v>
      </c>
      <c r="F284" s="26"/>
      <c r="G284" s="82">
        <f t="shared" si="32"/>
        <v>544421</v>
      </c>
      <c r="H284" s="146">
        <f t="shared" si="29"/>
        <v>92431</v>
      </c>
      <c r="I284" s="146">
        <f t="shared" si="33"/>
        <v>451990</v>
      </c>
      <c r="J284" s="146"/>
      <c r="K284" s="25"/>
      <c r="L284" s="84">
        <f t="shared" si="28"/>
        <v>92431</v>
      </c>
      <c r="M284" s="84">
        <f t="shared" si="28"/>
        <v>92431</v>
      </c>
      <c r="N284" s="84">
        <f t="shared" si="28"/>
        <v>92431</v>
      </c>
      <c r="O284" s="84">
        <f t="shared" si="28"/>
        <v>92431</v>
      </c>
      <c r="P284" s="85">
        <f t="shared" si="31"/>
        <v>82266</v>
      </c>
      <c r="Q284" s="85">
        <f t="shared" si="30"/>
        <v>0</v>
      </c>
    </row>
    <row r="285" spans="1:17">
      <c r="A285" s="164">
        <v>3340</v>
      </c>
      <c r="B285" s="168" t="s">
        <v>274</v>
      </c>
      <c r="C285" s="57">
        <f>VLOOKUP(A285,'Contribution Allocation_Report'!$A$9:$D$311,4,FALSE)</f>
        <v>3.4745164751006735E-4</v>
      </c>
      <c r="E285" s="81">
        <f>VLOOKUP(A285,Contributions_21!$A$9:$D$310,4,FALSE)</f>
        <v>3.4210000000000002E-4</v>
      </c>
      <c r="F285" s="26"/>
      <c r="G285" s="82">
        <f t="shared" si="32"/>
        <v>23505</v>
      </c>
      <c r="H285" s="146">
        <f t="shared" si="29"/>
        <v>3991</v>
      </c>
      <c r="I285" s="146">
        <f t="shared" si="33"/>
        <v>19514</v>
      </c>
      <c r="J285" s="146"/>
      <c r="K285" s="25"/>
      <c r="L285" s="84">
        <f t="shared" si="28"/>
        <v>3991</v>
      </c>
      <c r="M285" s="84">
        <f t="shared" si="28"/>
        <v>3991</v>
      </c>
      <c r="N285" s="84">
        <f t="shared" si="28"/>
        <v>3991</v>
      </c>
      <c r="O285" s="84">
        <f t="shared" si="28"/>
        <v>3991</v>
      </c>
      <c r="P285" s="85">
        <f t="shared" si="31"/>
        <v>3550</v>
      </c>
      <c r="Q285" s="85">
        <f t="shared" si="30"/>
        <v>0</v>
      </c>
    </row>
    <row r="286" spans="1:17">
      <c r="A286" s="166">
        <v>3350</v>
      </c>
      <c r="B286" s="167" t="s">
        <v>275</v>
      </c>
      <c r="C286" s="56">
        <f>VLOOKUP(A286,'Contribution Allocation_Report'!$A$9:$D$311,4,FALSE)</f>
        <v>2.125808327613513E-3</v>
      </c>
      <c r="E286" s="81">
        <f>VLOOKUP(A286,Contributions_21!$A$9:$D$310,4,FALSE)</f>
        <v>1.7024E-3</v>
      </c>
      <c r="F286" s="26"/>
      <c r="G286" s="82">
        <f t="shared" si="32"/>
        <v>1859659</v>
      </c>
      <c r="H286" s="146">
        <f t="shared" si="29"/>
        <v>315732</v>
      </c>
      <c r="I286" s="146">
        <f t="shared" si="33"/>
        <v>1543927</v>
      </c>
      <c r="J286" s="146"/>
      <c r="K286" s="25"/>
      <c r="L286" s="84">
        <f t="shared" si="28"/>
        <v>315731</v>
      </c>
      <c r="M286" s="84">
        <f t="shared" si="28"/>
        <v>315731</v>
      </c>
      <c r="N286" s="84">
        <f t="shared" si="28"/>
        <v>315731</v>
      </c>
      <c r="O286" s="84">
        <f t="shared" si="28"/>
        <v>315731</v>
      </c>
      <c r="P286" s="85">
        <f t="shared" si="31"/>
        <v>281003</v>
      </c>
      <c r="Q286" s="85">
        <f t="shared" si="30"/>
        <v>0</v>
      </c>
    </row>
    <row r="287" spans="1:17">
      <c r="A287" s="164">
        <v>24073</v>
      </c>
      <c r="B287" s="168" t="s">
        <v>276</v>
      </c>
      <c r="C287" s="57">
        <f>VLOOKUP(A287,'Contribution Allocation_Report'!$A$9:$D$311,4,FALSE)</f>
        <v>2.1944107338776124E-4</v>
      </c>
      <c r="E287" s="81">
        <f>VLOOKUP(A287,Contributions_21!$A$9:$D$310,4,FALSE)</f>
        <v>2.3819999999999999E-4</v>
      </c>
      <c r="F287" s="26"/>
      <c r="G287" s="82">
        <f t="shared" si="32"/>
        <v>-82391</v>
      </c>
      <c r="H287" s="146">
        <f t="shared" si="29"/>
        <v>-13988</v>
      </c>
      <c r="I287" s="146">
        <f t="shared" si="33"/>
        <v>-68403</v>
      </c>
      <c r="J287" s="146"/>
      <c r="K287" s="25"/>
      <c r="L287" s="84">
        <f t="shared" si="28"/>
        <v>-13988</v>
      </c>
      <c r="M287" s="84">
        <f t="shared" si="28"/>
        <v>-13988</v>
      </c>
      <c r="N287" s="84">
        <f t="shared" si="28"/>
        <v>-13988</v>
      </c>
      <c r="O287" s="84">
        <f t="shared" si="28"/>
        <v>-13988</v>
      </c>
      <c r="P287" s="85">
        <f t="shared" si="31"/>
        <v>-12451</v>
      </c>
      <c r="Q287" s="85">
        <f t="shared" si="30"/>
        <v>0</v>
      </c>
    </row>
    <row r="288" spans="1:17">
      <c r="A288" s="166">
        <v>2100</v>
      </c>
      <c r="B288" s="167" t="s">
        <v>277</v>
      </c>
      <c r="C288" s="56">
        <f>VLOOKUP(A288,'Contribution Allocation_Report'!$A$9:$D$311,4,FALSE)</f>
        <v>2.9150854594615889E-4</v>
      </c>
      <c r="E288" s="81">
        <f>VLOOKUP(A288,Contributions_21!$A$9:$D$310,4,FALSE)</f>
        <v>2.8889999999999997E-4</v>
      </c>
      <c r="F288" s="26"/>
      <c r="G288" s="82">
        <f t="shared" si="32"/>
        <v>11457</v>
      </c>
      <c r="H288" s="146">
        <f t="shared" si="29"/>
        <v>1945</v>
      </c>
      <c r="I288" s="146">
        <f t="shared" si="33"/>
        <v>9512</v>
      </c>
      <c r="J288" s="146"/>
      <c r="K288" s="25"/>
      <c r="L288" s="84">
        <f t="shared" si="28"/>
        <v>1945</v>
      </c>
      <c r="M288" s="84">
        <f t="shared" si="28"/>
        <v>1945</v>
      </c>
      <c r="N288" s="84">
        <f t="shared" si="28"/>
        <v>1945</v>
      </c>
      <c r="O288" s="84">
        <f t="shared" si="28"/>
        <v>1945</v>
      </c>
      <c r="P288" s="85">
        <f t="shared" si="31"/>
        <v>1732</v>
      </c>
      <c r="Q288" s="85">
        <f t="shared" si="30"/>
        <v>0</v>
      </c>
    </row>
    <row r="289" spans="1:17">
      <c r="A289" s="164">
        <v>2130</v>
      </c>
      <c r="B289" s="168" t="s">
        <v>278</v>
      </c>
      <c r="C289" s="57">
        <f>VLOOKUP(A289,'Contribution Allocation_Report'!$A$9:$D$311,4,FALSE)</f>
        <v>8.8191843552886827E-5</v>
      </c>
      <c r="E289" s="81">
        <f>VLOOKUP(A289,Contributions_21!$A$9:$D$310,4,FALSE)</f>
        <v>9.4900000000000003E-5</v>
      </c>
      <c r="F289" s="26"/>
      <c r="G289" s="82">
        <f t="shared" si="32"/>
        <v>-29463</v>
      </c>
      <c r="H289" s="146">
        <f t="shared" si="29"/>
        <v>-5002</v>
      </c>
      <c r="I289" s="146">
        <f t="shared" si="33"/>
        <v>-24461</v>
      </c>
      <c r="J289" s="146"/>
      <c r="K289" s="25"/>
      <c r="L289" s="84">
        <f t="shared" si="28"/>
        <v>-5002</v>
      </c>
      <c r="M289" s="84">
        <f t="shared" si="28"/>
        <v>-5002</v>
      </c>
      <c r="N289" s="84">
        <f t="shared" si="28"/>
        <v>-5002</v>
      </c>
      <c r="O289" s="84">
        <f t="shared" si="28"/>
        <v>-5002</v>
      </c>
      <c r="P289" s="85">
        <f t="shared" si="31"/>
        <v>-4453</v>
      </c>
      <c r="Q289" s="85">
        <f t="shared" si="30"/>
        <v>0</v>
      </c>
    </row>
    <row r="290" spans="1:17">
      <c r="A290" s="166">
        <v>32099</v>
      </c>
      <c r="B290" s="167" t="s">
        <v>279</v>
      </c>
      <c r="C290" s="56">
        <f>VLOOKUP(A290,'Contribution Allocation_Report'!$A$9:$D$311,4,FALSE)</f>
        <v>1.0523170081263089E-4</v>
      </c>
      <c r="E290" s="81">
        <f>VLOOKUP(A290,Contributions_21!$A$9:$D$310,4,FALSE)</f>
        <v>9.5199999999999997E-5</v>
      </c>
      <c r="F290" s="26"/>
      <c r="G290" s="82">
        <f t="shared" si="32"/>
        <v>44060</v>
      </c>
      <c r="H290" s="146">
        <f t="shared" si="29"/>
        <v>7480</v>
      </c>
      <c r="I290" s="146">
        <f t="shared" si="33"/>
        <v>36580</v>
      </c>
      <c r="J290" s="146"/>
      <c r="K290" s="25"/>
      <c r="L290" s="84">
        <f t="shared" si="28"/>
        <v>7481</v>
      </c>
      <c r="M290" s="84">
        <f t="shared" si="28"/>
        <v>7481</v>
      </c>
      <c r="N290" s="84">
        <f t="shared" si="28"/>
        <v>7481</v>
      </c>
      <c r="O290" s="84">
        <f t="shared" si="28"/>
        <v>7481</v>
      </c>
      <c r="P290" s="85">
        <f t="shared" si="31"/>
        <v>6656</v>
      </c>
      <c r="Q290" s="85">
        <f t="shared" si="30"/>
        <v>0</v>
      </c>
    </row>
    <row r="291" spans="1:17">
      <c r="A291" s="164">
        <v>32100</v>
      </c>
      <c r="B291" s="168" t="s">
        <v>280</v>
      </c>
      <c r="C291" s="57">
        <f>VLOOKUP(A291,'Contribution Allocation_Report'!$A$9:$D$311,4,FALSE)</f>
        <v>2.2318176995546937E-4</v>
      </c>
      <c r="E291" s="81">
        <f>VLOOKUP(A291,Contributions_21!$A$9:$D$310,4,FALSE)</f>
        <v>2.1100000000000001E-4</v>
      </c>
      <c r="F291" s="26"/>
      <c r="G291" s="82">
        <f t="shared" si="32"/>
        <v>53504</v>
      </c>
      <c r="H291" s="146">
        <f t="shared" si="29"/>
        <v>9084</v>
      </c>
      <c r="I291" s="146">
        <f t="shared" si="33"/>
        <v>44420</v>
      </c>
      <c r="J291" s="146"/>
      <c r="K291" s="25"/>
      <c r="L291" s="84">
        <f t="shared" si="28"/>
        <v>9084</v>
      </c>
      <c r="M291" s="84">
        <f t="shared" si="28"/>
        <v>9084</v>
      </c>
      <c r="N291" s="84">
        <f t="shared" si="28"/>
        <v>9084</v>
      </c>
      <c r="O291" s="84">
        <f t="shared" si="28"/>
        <v>9084</v>
      </c>
      <c r="P291" s="85">
        <f t="shared" si="31"/>
        <v>8084</v>
      </c>
      <c r="Q291" s="85">
        <f t="shared" si="30"/>
        <v>0</v>
      </c>
    </row>
    <row r="292" spans="1:17">
      <c r="A292" s="166">
        <v>32101</v>
      </c>
      <c r="B292" s="167" t="s">
        <v>281</v>
      </c>
      <c r="C292" s="56">
        <f>VLOOKUP(A292,'Contribution Allocation_Report'!$A$9:$D$311,4,FALSE)</f>
        <v>6.3759188602751198E-5</v>
      </c>
      <c r="E292" s="81">
        <f>VLOOKUP(A292,Contributions_21!$A$9:$D$310,4,FALSE)</f>
        <v>1.04E-5</v>
      </c>
      <c r="F292" s="26"/>
      <c r="G292" s="82">
        <f t="shared" si="32"/>
        <v>234360</v>
      </c>
      <c r="H292" s="146">
        <f t="shared" si="29"/>
        <v>39789</v>
      </c>
      <c r="I292" s="146">
        <f t="shared" si="33"/>
        <v>194571</v>
      </c>
      <c r="J292" s="146"/>
      <c r="K292" s="25"/>
      <c r="L292" s="84">
        <f t="shared" si="28"/>
        <v>39790</v>
      </c>
      <c r="M292" s="84">
        <f t="shared" si="28"/>
        <v>39790</v>
      </c>
      <c r="N292" s="84">
        <f t="shared" si="28"/>
        <v>39790</v>
      </c>
      <c r="O292" s="84">
        <f t="shared" si="28"/>
        <v>39790</v>
      </c>
      <c r="P292" s="85">
        <f t="shared" si="31"/>
        <v>35411</v>
      </c>
      <c r="Q292" s="85">
        <f t="shared" si="30"/>
        <v>0</v>
      </c>
    </row>
    <row r="293" spans="1:17">
      <c r="A293" s="164">
        <v>32102</v>
      </c>
      <c r="B293" s="165" t="s">
        <v>282</v>
      </c>
      <c r="C293" s="66">
        <f>VLOOKUP(A293,'Contribution Allocation_Report'!$A$9:$D$311,4,FALSE)</f>
        <v>1.1961369472163498E-4</v>
      </c>
      <c r="E293" s="81">
        <f>VLOOKUP(A293,Contributions_21!$A$9:$D$310,4,FALSE)</f>
        <v>1.2559999999999999E-4</v>
      </c>
      <c r="F293" s="26"/>
      <c r="G293" s="82">
        <f t="shared" si="32"/>
        <v>-26293</v>
      </c>
      <c r="H293" s="146">
        <f t="shared" si="29"/>
        <v>-4464</v>
      </c>
      <c r="I293" s="146">
        <f t="shared" si="33"/>
        <v>-21829</v>
      </c>
      <c r="J293" s="146"/>
      <c r="K293" s="25"/>
      <c r="L293" s="84">
        <f t="shared" si="28"/>
        <v>-4464</v>
      </c>
      <c r="M293" s="84">
        <f t="shared" si="28"/>
        <v>-4464</v>
      </c>
      <c r="N293" s="84">
        <f t="shared" si="28"/>
        <v>-4464</v>
      </c>
      <c r="O293" s="84">
        <f t="shared" si="28"/>
        <v>-4464</v>
      </c>
      <c r="P293" s="85">
        <f t="shared" si="31"/>
        <v>-3973</v>
      </c>
      <c r="Q293" s="85">
        <f t="shared" si="30"/>
        <v>0</v>
      </c>
    </row>
    <row r="294" spans="1:17">
      <c r="A294" s="166">
        <v>2880</v>
      </c>
      <c r="B294" s="167" t="s">
        <v>283</v>
      </c>
      <c r="C294" s="56">
        <f>VLOOKUP(A294,'Contribution Allocation_Report'!$A$9:$D$311,4,FALSE)</f>
        <v>3.5999282495022558E-5</v>
      </c>
      <c r="E294" s="81">
        <f>VLOOKUP(A294,Contributions_21!$A$9:$D$310,4,FALSE)</f>
        <v>4.2500000000000003E-5</v>
      </c>
      <c r="F294" s="26"/>
      <c r="G294" s="82">
        <f t="shared" si="32"/>
        <v>-28552</v>
      </c>
      <c r="H294" s="146">
        <f t="shared" si="29"/>
        <v>-4848</v>
      </c>
      <c r="I294" s="146">
        <f t="shared" si="33"/>
        <v>-23704</v>
      </c>
      <c r="J294" s="146"/>
      <c r="K294" s="25"/>
      <c r="L294" s="84">
        <f t="shared" si="28"/>
        <v>-4847</v>
      </c>
      <c r="M294" s="84">
        <f t="shared" si="28"/>
        <v>-4847</v>
      </c>
      <c r="N294" s="84">
        <f t="shared" si="28"/>
        <v>-4847</v>
      </c>
      <c r="O294" s="84">
        <f t="shared" si="28"/>
        <v>-4847</v>
      </c>
      <c r="P294" s="85">
        <f t="shared" si="31"/>
        <v>-4316</v>
      </c>
      <c r="Q294" s="85">
        <f t="shared" si="30"/>
        <v>0</v>
      </c>
    </row>
    <row r="295" spans="1:17">
      <c r="A295" s="164">
        <v>2490</v>
      </c>
      <c r="B295" s="168" t="s">
        <v>284</v>
      </c>
      <c r="C295" s="57">
        <f>VLOOKUP(A295,'Contribution Allocation_Report'!$A$9:$D$311,4,FALSE)</f>
        <v>2.660816532240798E-4</v>
      </c>
      <c r="E295" s="81">
        <f>VLOOKUP(A295,Contributions_21!$A$9:$D$310,4,FALSE)</f>
        <v>2.8259999999999998E-4</v>
      </c>
      <c r="F295" s="26"/>
      <c r="G295" s="82">
        <f t="shared" si="32"/>
        <v>-72551</v>
      </c>
      <c r="H295" s="146">
        <f t="shared" si="29"/>
        <v>-12318</v>
      </c>
      <c r="I295" s="146">
        <f t="shared" si="33"/>
        <v>-60233</v>
      </c>
      <c r="J295" s="146"/>
      <c r="K295" s="25"/>
      <c r="L295" s="84">
        <f t="shared" si="28"/>
        <v>-12318</v>
      </c>
      <c r="M295" s="84">
        <f t="shared" si="28"/>
        <v>-12318</v>
      </c>
      <c r="N295" s="84">
        <f t="shared" si="28"/>
        <v>-12318</v>
      </c>
      <c r="O295" s="84">
        <f t="shared" si="28"/>
        <v>-12318</v>
      </c>
      <c r="P295" s="85">
        <f t="shared" si="31"/>
        <v>-10961</v>
      </c>
      <c r="Q295" s="85">
        <f t="shared" si="30"/>
        <v>0</v>
      </c>
    </row>
    <row r="296" spans="1:17">
      <c r="A296" s="166">
        <v>2530</v>
      </c>
      <c r="B296" s="167" t="s">
        <v>285</v>
      </c>
      <c r="C296" s="56">
        <f>VLOOKUP(A296,'Contribution Allocation_Report'!$A$9:$D$311,4,FALSE)</f>
        <v>5.8512369469623764E-5</v>
      </c>
      <c r="E296" s="81">
        <f>VLOOKUP(A296,Contributions_21!$A$9:$D$310,4,FALSE)</f>
        <v>3.0499999999999999E-5</v>
      </c>
      <c r="F296" s="26"/>
      <c r="G296" s="82">
        <f t="shared" si="32"/>
        <v>123034</v>
      </c>
      <c r="H296" s="146">
        <f t="shared" si="29"/>
        <v>20889</v>
      </c>
      <c r="I296" s="146">
        <f t="shared" si="33"/>
        <v>102145</v>
      </c>
      <c r="J296" s="146"/>
      <c r="K296" s="25"/>
      <c r="L296" s="84">
        <f t="shared" si="28"/>
        <v>20889</v>
      </c>
      <c r="M296" s="84">
        <f t="shared" si="28"/>
        <v>20889</v>
      </c>
      <c r="N296" s="84">
        <f t="shared" si="28"/>
        <v>20889</v>
      </c>
      <c r="O296" s="84">
        <f t="shared" si="28"/>
        <v>20889</v>
      </c>
      <c r="P296" s="85">
        <f t="shared" si="31"/>
        <v>18589</v>
      </c>
      <c r="Q296" s="85">
        <f t="shared" si="30"/>
        <v>0</v>
      </c>
    </row>
    <row r="297" spans="1:17">
      <c r="A297" s="164">
        <v>2560</v>
      </c>
      <c r="B297" s="168" t="s">
        <v>286</v>
      </c>
      <c r="C297" s="57">
        <f>VLOOKUP(A297,'Contribution Allocation_Report'!$A$9:$D$311,4,FALSE)</f>
        <v>9.2493644605751152E-5</v>
      </c>
      <c r="E297" s="81">
        <f>VLOOKUP(A297,Contributions_21!$A$9:$D$310,4,FALSE)</f>
        <v>9.0500000000000004E-5</v>
      </c>
      <c r="F297" s="26"/>
      <c r="G297" s="82">
        <f t="shared" si="32"/>
        <v>8756</v>
      </c>
      <c r="H297" s="146">
        <f t="shared" si="29"/>
        <v>1487</v>
      </c>
      <c r="I297" s="146">
        <f t="shared" si="33"/>
        <v>7269</v>
      </c>
      <c r="J297" s="146"/>
      <c r="K297" s="25"/>
      <c r="L297" s="84">
        <f t="shared" si="28"/>
        <v>1487</v>
      </c>
      <c r="M297" s="84">
        <f t="shared" si="28"/>
        <v>1487</v>
      </c>
      <c r="N297" s="84">
        <f t="shared" si="28"/>
        <v>1487</v>
      </c>
      <c r="O297" s="84">
        <f t="shared" si="28"/>
        <v>1487</v>
      </c>
      <c r="P297" s="85">
        <f t="shared" si="31"/>
        <v>1321</v>
      </c>
      <c r="Q297" s="85">
        <f t="shared" si="30"/>
        <v>0</v>
      </c>
    </row>
    <row r="298" spans="1:17">
      <c r="A298" s="166">
        <v>2610</v>
      </c>
      <c r="B298" s="167" t="s">
        <v>287</v>
      </c>
      <c r="C298" s="56">
        <f>VLOOKUP(A298,'Contribution Allocation_Report'!$A$9:$D$311,4,FALSE)</f>
        <v>2.9561346823230173E-5</v>
      </c>
      <c r="E298" s="81">
        <f>VLOOKUP(A298,Contributions_21!$A$9:$D$310,4,FALSE)</f>
        <v>3.4700000000000003E-5</v>
      </c>
      <c r="F298" s="26"/>
      <c r="G298" s="82">
        <f t="shared" si="32"/>
        <v>-22570</v>
      </c>
      <c r="H298" s="146">
        <f t="shared" si="29"/>
        <v>-3832</v>
      </c>
      <c r="I298" s="146">
        <f t="shared" si="33"/>
        <v>-18738</v>
      </c>
      <c r="J298" s="146"/>
      <c r="K298" s="25"/>
      <c r="L298" s="84">
        <f t="shared" si="28"/>
        <v>-3832</v>
      </c>
      <c r="M298" s="84">
        <f t="shared" si="28"/>
        <v>-3832</v>
      </c>
      <c r="N298" s="84">
        <f t="shared" si="28"/>
        <v>-3832</v>
      </c>
      <c r="O298" s="84">
        <f t="shared" si="28"/>
        <v>-3832</v>
      </c>
      <c r="P298" s="85">
        <f t="shared" si="31"/>
        <v>-3410</v>
      </c>
      <c r="Q298" s="85">
        <f t="shared" si="30"/>
        <v>0</v>
      </c>
    </row>
    <row r="299" spans="1:17">
      <c r="A299" s="164">
        <v>2800</v>
      </c>
      <c r="B299" s="168" t="s">
        <v>288</v>
      </c>
      <c r="C299" s="57">
        <f>VLOOKUP(A299,'Contribution Allocation_Report'!$A$9:$D$311,4,FALSE)</f>
        <v>9.1430499265455161E-5</v>
      </c>
      <c r="E299" s="81">
        <f>VLOOKUP(A299,Contributions_21!$A$9:$D$310,4,FALSE)</f>
        <v>8.7800000000000006E-5</v>
      </c>
      <c r="F299" s="26"/>
      <c r="G299" s="82">
        <f t="shared" si="32"/>
        <v>15946</v>
      </c>
      <c r="H299" s="146">
        <f t="shared" si="29"/>
        <v>2707</v>
      </c>
      <c r="I299" s="146">
        <f t="shared" si="33"/>
        <v>13239</v>
      </c>
      <c r="J299" s="146"/>
      <c r="K299" s="25"/>
      <c r="L299" s="84">
        <f t="shared" si="28"/>
        <v>2707</v>
      </c>
      <c r="M299" s="84">
        <f t="shared" si="28"/>
        <v>2707</v>
      </c>
      <c r="N299" s="84">
        <f t="shared" si="28"/>
        <v>2707</v>
      </c>
      <c r="O299" s="84">
        <f t="shared" si="28"/>
        <v>2707</v>
      </c>
      <c r="P299" s="85">
        <f t="shared" si="31"/>
        <v>2411</v>
      </c>
      <c r="Q299" s="85">
        <f t="shared" si="30"/>
        <v>0</v>
      </c>
    </row>
    <row r="300" spans="1:17">
      <c r="A300" s="166">
        <v>20317</v>
      </c>
      <c r="B300" s="167" t="s">
        <v>289</v>
      </c>
      <c r="C300" s="56">
        <f>VLOOKUP(A300,'Contribution Allocation_Report'!$A$9:$D$311,4,FALSE)</f>
        <v>1.8402258325456706E-4</v>
      </c>
      <c r="E300" s="81">
        <f>VLOOKUP(A300,Contributions_21!$A$9:$D$310,4,FALSE)</f>
        <v>1.4559999999999999E-4</v>
      </c>
      <c r="F300" s="26"/>
      <c r="G300" s="82">
        <f t="shared" si="32"/>
        <v>168757</v>
      </c>
      <c r="H300" s="146">
        <f t="shared" si="29"/>
        <v>28651</v>
      </c>
      <c r="I300" s="146">
        <f t="shared" si="33"/>
        <v>140106</v>
      </c>
      <c r="J300" s="146"/>
      <c r="K300" s="25"/>
      <c r="L300" s="84">
        <f t="shared" si="28"/>
        <v>28652</v>
      </c>
      <c r="M300" s="84">
        <f t="shared" si="28"/>
        <v>28652</v>
      </c>
      <c r="N300" s="84">
        <f t="shared" si="28"/>
        <v>28652</v>
      </c>
      <c r="O300" s="84">
        <f t="shared" si="28"/>
        <v>28652</v>
      </c>
      <c r="P300" s="85">
        <f t="shared" si="31"/>
        <v>25498</v>
      </c>
      <c r="Q300" s="85">
        <f t="shared" si="30"/>
        <v>0</v>
      </c>
    </row>
    <row r="301" spans="1:17">
      <c r="A301" s="164">
        <v>2442</v>
      </c>
      <c r="B301" s="168" t="s">
        <v>444</v>
      </c>
      <c r="C301" s="57">
        <f>VLOOKUP(A301,'Contribution Allocation_Report'!$A$9:$D$311,4,FALSE)</f>
        <v>5.8098924059508651E-5</v>
      </c>
      <c r="E301" s="81">
        <f>VLOOKUP(A301,Contributions_21!$A$9:$D$310,4,FALSE)</f>
        <v>1.6699999999999999E-5</v>
      </c>
      <c r="F301" s="26"/>
      <c r="G301" s="82">
        <f t="shared" si="32"/>
        <v>181829</v>
      </c>
      <c r="H301" s="146">
        <f t="shared" si="29"/>
        <v>30871</v>
      </c>
      <c r="I301" s="146">
        <f t="shared" si="33"/>
        <v>150958</v>
      </c>
      <c r="J301" s="146"/>
      <c r="K301" s="25"/>
      <c r="L301" s="84">
        <f t="shared" si="28"/>
        <v>30871</v>
      </c>
      <c r="M301" s="84">
        <f t="shared" si="28"/>
        <v>30871</v>
      </c>
      <c r="N301" s="84">
        <f t="shared" si="28"/>
        <v>30871</v>
      </c>
      <c r="O301" s="84">
        <f t="shared" si="28"/>
        <v>30871</v>
      </c>
      <c r="P301" s="85">
        <f t="shared" si="31"/>
        <v>27474</v>
      </c>
      <c r="Q301" s="85">
        <f t="shared" si="30"/>
        <v>0</v>
      </c>
    </row>
    <row r="302" spans="1:17">
      <c r="A302" s="166">
        <v>30090</v>
      </c>
      <c r="B302" s="167" t="s">
        <v>290</v>
      </c>
      <c r="C302" s="56">
        <f>VLOOKUP(A302,'Contribution Allocation_Report'!$A$9:$D$311,4,FALSE)</f>
        <v>2.7158441475394517E-4</v>
      </c>
      <c r="E302" s="81">
        <f>VLOOKUP(A302,Contributions_21!$A$9:$D$310,4,FALSE)</f>
        <v>3.212E-4</v>
      </c>
      <c r="F302" s="26"/>
      <c r="G302" s="82">
        <f t="shared" si="32"/>
        <v>-217917</v>
      </c>
      <c r="H302" s="146">
        <f t="shared" si="29"/>
        <v>-36998</v>
      </c>
      <c r="I302" s="146">
        <f t="shared" si="33"/>
        <v>-180919</v>
      </c>
      <c r="J302" s="146"/>
      <c r="K302" s="25"/>
      <c r="L302" s="84">
        <f t="shared" si="28"/>
        <v>-36998</v>
      </c>
      <c r="M302" s="84">
        <f t="shared" si="28"/>
        <v>-36998</v>
      </c>
      <c r="N302" s="84">
        <f t="shared" si="28"/>
        <v>-36998</v>
      </c>
      <c r="O302" s="84">
        <f t="shared" si="28"/>
        <v>-36998</v>
      </c>
      <c r="P302" s="85">
        <f t="shared" si="31"/>
        <v>-32927</v>
      </c>
      <c r="Q302" s="85">
        <f t="shared" si="30"/>
        <v>0</v>
      </c>
    </row>
    <row r="303" spans="1:17">
      <c r="A303" s="164">
        <v>29330</v>
      </c>
      <c r="B303" s="168" t="s">
        <v>291</v>
      </c>
      <c r="C303" s="57">
        <f>VLOOKUP(A303,'Contribution Allocation_Report'!$A$9:$D$311,4,FALSE)</f>
        <v>1.1631597537905019E-4</v>
      </c>
      <c r="E303" s="81">
        <f>VLOOKUP(A303,Contributions_21!$A$9:$D$310,4,FALSE)</f>
        <v>1.142E-4</v>
      </c>
      <c r="F303" s="26"/>
      <c r="G303" s="82">
        <f t="shared" si="32"/>
        <v>9294</v>
      </c>
      <c r="H303" s="146">
        <f t="shared" si="29"/>
        <v>1578</v>
      </c>
      <c r="I303" s="146">
        <f t="shared" si="33"/>
        <v>7716</v>
      </c>
      <c r="J303" s="146"/>
      <c r="K303" s="25"/>
      <c r="L303" s="84">
        <f t="shared" si="28"/>
        <v>1578</v>
      </c>
      <c r="M303" s="84">
        <f t="shared" si="28"/>
        <v>1578</v>
      </c>
      <c r="N303" s="84">
        <f t="shared" si="28"/>
        <v>1578</v>
      </c>
      <c r="O303" s="84">
        <f t="shared" si="28"/>
        <v>1578</v>
      </c>
      <c r="P303" s="85">
        <f t="shared" si="31"/>
        <v>1404</v>
      </c>
      <c r="Q303" s="85">
        <f t="shared" si="30"/>
        <v>0</v>
      </c>
    </row>
    <row r="304" spans="1:17">
      <c r="A304" s="166">
        <v>12038</v>
      </c>
      <c r="B304" s="167" t="s">
        <v>292</v>
      </c>
      <c r="C304" s="56">
        <f>VLOOKUP(A304,'Contribution Allocation_Report'!$A$9:$D$311,4,FALSE)</f>
        <v>2.508481586490053E-3</v>
      </c>
      <c r="E304" s="81">
        <f>VLOOKUP(A304,Contributions_21!$A$9:$D$310,4,FALSE)</f>
        <v>2.4910000000000002E-3</v>
      </c>
      <c r="F304" s="26"/>
      <c r="G304" s="82">
        <f>ROUND((E304-C304)*$G$326,0)</f>
        <v>76781</v>
      </c>
      <c r="H304" s="146">
        <f t="shared" si="29"/>
        <v>13036</v>
      </c>
      <c r="I304" s="146">
        <f t="shared" si="33"/>
        <v>63745</v>
      </c>
      <c r="J304" s="146"/>
      <c r="K304" s="25"/>
      <c r="L304" s="84">
        <f t="shared" si="28"/>
        <v>13036</v>
      </c>
      <c r="M304" s="84">
        <f t="shared" si="28"/>
        <v>13036</v>
      </c>
      <c r="N304" s="84">
        <f t="shared" si="28"/>
        <v>13036</v>
      </c>
      <c r="O304" s="84">
        <f t="shared" si="28"/>
        <v>13036</v>
      </c>
      <c r="P304" s="85">
        <f>I304-SUM(L304:O304)</f>
        <v>11601</v>
      </c>
      <c r="Q304" s="85">
        <f>+I304-SUM(L304:P304)</f>
        <v>0</v>
      </c>
    </row>
    <row r="305" spans="1:17">
      <c r="A305" s="164">
        <v>8099</v>
      </c>
      <c r="B305" s="168" t="s">
        <v>293</v>
      </c>
      <c r="C305" s="57">
        <f>VLOOKUP(A305,'Contribution Allocation_Report'!$A$9:$D$311,4,FALSE)</f>
        <v>4.1394646657641346E-3</v>
      </c>
      <c r="E305" s="81">
        <f>VLOOKUP(A305,Contributions_21!$A$9:$D$310,4,FALSE)</f>
        <v>3.9122000000000002E-3</v>
      </c>
      <c r="F305" s="26"/>
      <c r="G305" s="82">
        <f t="shared" si="32"/>
        <v>998173</v>
      </c>
      <c r="H305" s="146">
        <f t="shared" si="29"/>
        <v>169469</v>
      </c>
      <c r="I305" s="146">
        <f t="shared" si="33"/>
        <v>828704</v>
      </c>
      <c r="J305" s="146"/>
      <c r="K305" s="25"/>
      <c r="L305" s="84">
        <f t="shared" si="28"/>
        <v>169469</v>
      </c>
      <c r="M305" s="84">
        <f t="shared" si="28"/>
        <v>169469</v>
      </c>
      <c r="N305" s="84">
        <f t="shared" si="28"/>
        <v>169469</v>
      </c>
      <c r="O305" s="84">
        <f t="shared" si="28"/>
        <v>169469</v>
      </c>
      <c r="P305" s="85">
        <f t="shared" si="31"/>
        <v>150828</v>
      </c>
      <c r="Q305" s="85">
        <f t="shared" si="30"/>
        <v>0</v>
      </c>
    </row>
    <row r="306" spans="1:17">
      <c r="A306" s="166">
        <v>2417</v>
      </c>
      <c r="B306" s="167" t="s">
        <v>294</v>
      </c>
      <c r="C306" s="56">
        <f>VLOOKUP(A306,'Contribution Allocation_Report'!$A$9:$D$311,4,FALSE)</f>
        <v>8.7522455746033787E-5</v>
      </c>
      <c r="E306" s="81">
        <f>VLOOKUP(A306,Contributions_21!$A$9:$D$310,4,FALSE)</f>
        <v>8.3900000000000006E-5</v>
      </c>
      <c r="F306" s="26"/>
      <c r="G306" s="82">
        <f t="shared" si="32"/>
        <v>15910</v>
      </c>
      <c r="H306" s="146">
        <f t="shared" si="29"/>
        <v>2701</v>
      </c>
      <c r="I306" s="146">
        <f t="shared" si="33"/>
        <v>13209</v>
      </c>
      <c r="J306" s="146"/>
      <c r="K306" s="25"/>
      <c r="L306" s="84">
        <f t="shared" si="28"/>
        <v>2701</v>
      </c>
      <c r="M306" s="84">
        <f t="shared" si="28"/>
        <v>2701</v>
      </c>
      <c r="N306" s="84">
        <f t="shared" si="28"/>
        <v>2701</v>
      </c>
      <c r="O306" s="84">
        <f t="shared" si="28"/>
        <v>2701</v>
      </c>
      <c r="P306" s="85">
        <f t="shared" si="31"/>
        <v>2405</v>
      </c>
      <c r="Q306" s="85">
        <f t="shared" si="30"/>
        <v>0</v>
      </c>
    </row>
    <row r="307" spans="1:17">
      <c r="A307" s="164">
        <v>13142</v>
      </c>
      <c r="B307" s="168" t="s">
        <v>295</v>
      </c>
      <c r="C307" s="57">
        <f>VLOOKUP(A307,'Contribution Allocation_Report'!$A$9:$D$311,4,FALSE)</f>
        <v>2.6140972008977907E-3</v>
      </c>
      <c r="E307" s="81">
        <f>VLOOKUP(A307,Contributions_21!$A$9:$D$310,4,FALSE)</f>
        <v>2.3280000000000002E-3</v>
      </c>
      <c r="F307" s="26"/>
      <c r="G307" s="82">
        <f t="shared" si="32"/>
        <v>1256573</v>
      </c>
      <c r="H307" s="146">
        <f t="shared" si="29"/>
        <v>213340</v>
      </c>
      <c r="I307" s="146">
        <f t="shared" si="33"/>
        <v>1043233</v>
      </c>
      <c r="J307" s="146"/>
      <c r="K307" s="25"/>
      <c r="L307" s="84">
        <f t="shared" si="28"/>
        <v>213340</v>
      </c>
      <c r="M307" s="84">
        <f t="shared" si="28"/>
        <v>213340</v>
      </c>
      <c r="N307" s="84">
        <f t="shared" si="28"/>
        <v>213340</v>
      </c>
      <c r="O307" s="84">
        <f t="shared" si="28"/>
        <v>213340</v>
      </c>
      <c r="P307" s="85">
        <f t="shared" si="31"/>
        <v>189873</v>
      </c>
      <c r="Q307" s="85">
        <f t="shared" si="30"/>
        <v>0</v>
      </c>
    </row>
    <row r="308" spans="1:17">
      <c r="A308" s="166">
        <v>4170</v>
      </c>
      <c r="B308" s="167" t="s">
        <v>566</v>
      </c>
      <c r="C308" s="56">
        <v>0</v>
      </c>
      <c r="E308" s="81">
        <f>VLOOKUP(A308,Contributions_21!$A$9:$D$310,4,FALSE)</f>
        <v>2.16E-5</v>
      </c>
      <c r="F308" s="26"/>
      <c r="G308" s="82">
        <f t="shared" si="32"/>
        <v>-94870</v>
      </c>
      <c r="H308" s="146">
        <f t="shared" si="29"/>
        <v>-16107</v>
      </c>
      <c r="I308" s="146">
        <f t="shared" si="33"/>
        <v>-78763</v>
      </c>
      <c r="J308" s="146"/>
      <c r="K308" s="25"/>
      <c r="L308" s="84">
        <f t="shared" si="28"/>
        <v>-16107</v>
      </c>
      <c r="M308" s="84">
        <f t="shared" si="28"/>
        <v>-16107</v>
      </c>
      <c r="N308" s="84">
        <f t="shared" si="28"/>
        <v>-16107</v>
      </c>
      <c r="O308" s="84">
        <f t="shared" si="28"/>
        <v>-16107</v>
      </c>
      <c r="P308" s="85">
        <f t="shared" si="31"/>
        <v>-14335</v>
      </c>
      <c r="Q308" s="85">
        <f>+I308-SUM(L308:P308)</f>
        <v>0</v>
      </c>
    </row>
    <row r="309" spans="1:17">
      <c r="A309" s="164">
        <v>4215</v>
      </c>
      <c r="B309" s="168" t="s">
        <v>183</v>
      </c>
      <c r="C309" s="57">
        <v>0</v>
      </c>
      <c r="E309" s="81">
        <f>VLOOKUP(A309,Contributions_21!$A$9:$D$310,4,FALSE)</f>
        <v>2.9600000000000001E-5</v>
      </c>
      <c r="F309" s="26"/>
      <c r="G309" s="82">
        <f t="shared" si="32"/>
        <v>-130007</v>
      </c>
      <c r="H309" s="146">
        <f t="shared" si="29"/>
        <v>-22072</v>
      </c>
      <c r="I309" s="82">
        <f t="shared" si="33"/>
        <v>-107935</v>
      </c>
      <c r="J309" s="146"/>
      <c r="K309" s="25"/>
      <c r="L309" s="84">
        <f t="shared" si="28"/>
        <v>-22073</v>
      </c>
      <c r="M309" s="84">
        <f t="shared" si="28"/>
        <v>-22073</v>
      </c>
      <c r="N309" s="84">
        <f t="shared" si="28"/>
        <v>-22073</v>
      </c>
      <c r="O309" s="84">
        <f t="shared" si="28"/>
        <v>-22073</v>
      </c>
      <c r="P309" s="85">
        <f t="shared" si="31"/>
        <v>-19643</v>
      </c>
      <c r="Q309" s="85">
        <f>+I309-SUM(L309:P309)</f>
        <v>0</v>
      </c>
    </row>
    <row r="310" spans="1:17">
      <c r="A310" s="166">
        <v>17334</v>
      </c>
      <c r="B310" s="167" t="s">
        <v>135</v>
      </c>
      <c r="C310" s="56">
        <v>0</v>
      </c>
      <c r="E310" s="81">
        <v>0</v>
      </c>
      <c r="F310" s="26"/>
      <c r="G310" s="82">
        <f>ROUND((E310-C310)*$G$326,0)</f>
        <v>0</v>
      </c>
      <c r="H310" s="82">
        <f t="shared" si="29"/>
        <v>0</v>
      </c>
      <c r="I310" s="82">
        <f t="shared" si="33"/>
        <v>0</v>
      </c>
      <c r="J310" s="146"/>
      <c r="K310" s="25"/>
      <c r="L310" s="84">
        <f t="shared" si="28"/>
        <v>0</v>
      </c>
      <c r="M310" s="84">
        <f t="shared" si="28"/>
        <v>0</v>
      </c>
      <c r="N310" s="84">
        <f t="shared" si="28"/>
        <v>0</v>
      </c>
      <c r="O310" s="84">
        <f t="shared" si="28"/>
        <v>0</v>
      </c>
      <c r="P310" s="85">
        <f>I310-SUM(L310:O310)</f>
        <v>0</v>
      </c>
      <c r="Q310" s="85">
        <f>+I310-SUM(L310:P310)</f>
        <v>0</v>
      </c>
    </row>
    <row r="311" spans="1:17">
      <c r="A311" s="164">
        <v>2403</v>
      </c>
      <c r="B311" s="168" t="s">
        <v>414</v>
      </c>
      <c r="C311" s="57">
        <v>0</v>
      </c>
      <c r="E311" s="81">
        <v>0</v>
      </c>
      <c r="F311" s="26"/>
      <c r="G311" s="82">
        <v>0</v>
      </c>
      <c r="H311" s="82">
        <f t="shared" si="29"/>
        <v>0</v>
      </c>
      <c r="I311" s="82">
        <v>0</v>
      </c>
      <c r="J311" s="146"/>
      <c r="K311" s="25"/>
      <c r="L311" s="84">
        <f t="shared" si="28"/>
        <v>0</v>
      </c>
      <c r="M311" s="84">
        <f>ROUND($I311/4.64,0)</f>
        <v>0</v>
      </c>
      <c r="N311" s="84">
        <f>ROUND($I311/4.64,0)</f>
        <v>0</v>
      </c>
      <c r="O311" s="84">
        <f>ROUND($I311/4.64,0)</f>
        <v>0</v>
      </c>
      <c r="P311" s="85">
        <f t="shared" ref="P311:P319" si="34">I311-SUM(L311:O311)</f>
        <v>0</v>
      </c>
      <c r="Q311" s="85">
        <f t="shared" ref="Q311:Q319" si="35">+I311-SUM(L311:P311)</f>
        <v>0</v>
      </c>
    </row>
    <row r="312" spans="1:17">
      <c r="A312" s="166">
        <v>16358</v>
      </c>
      <c r="B312" s="167" t="s">
        <v>415</v>
      </c>
      <c r="C312" s="56">
        <v>0</v>
      </c>
      <c r="E312" s="81">
        <v>0</v>
      </c>
      <c r="F312" s="26"/>
      <c r="G312" s="82">
        <v>0</v>
      </c>
      <c r="H312" s="82">
        <f t="shared" si="29"/>
        <v>0</v>
      </c>
      <c r="I312" s="82">
        <v>0</v>
      </c>
      <c r="J312" s="146"/>
      <c r="K312" s="25"/>
      <c r="L312" s="84">
        <f t="shared" si="28"/>
        <v>0</v>
      </c>
      <c r="M312" s="84">
        <f t="shared" ref="M312:O319" si="36">ROUND($I312/4.64,0)</f>
        <v>0</v>
      </c>
      <c r="N312" s="84">
        <f t="shared" si="36"/>
        <v>0</v>
      </c>
      <c r="O312" s="84">
        <f t="shared" si="36"/>
        <v>0</v>
      </c>
      <c r="P312" s="85">
        <f t="shared" si="34"/>
        <v>0</v>
      </c>
      <c r="Q312" s="85">
        <f t="shared" si="35"/>
        <v>0</v>
      </c>
    </row>
    <row r="313" spans="1:17">
      <c r="A313" s="164">
        <v>2357</v>
      </c>
      <c r="B313" s="168" t="s">
        <v>416</v>
      </c>
      <c r="C313" s="57">
        <v>0</v>
      </c>
      <c r="E313" s="81">
        <v>0</v>
      </c>
      <c r="F313" s="26"/>
      <c r="G313" s="82">
        <v>0</v>
      </c>
      <c r="H313" s="82">
        <f t="shared" si="29"/>
        <v>0</v>
      </c>
      <c r="I313" s="82">
        <v>0</v>
      </c>
      <c r="J313" s="146"/>
      <c r="K313" s="25"/>
      <c r="L313" s="84">
        <f t="shared" si="28"/>
        <v>0</v>
      </c>
      <c r="M313" s="84">
        <f t="shared" si="36"/>
        <v>0</v>
      </c>
      <c r="N313" s="84">
        <f t="shared" si="36"/>
        <v>0</v>
      </c>
      <c r="O313" s="84">
        <f t="shared" si="36"/>
        <v>0</v>
      </c>
      <c r="P313" s="85">
        <f t="shared" si="34"/>
        <v>0</v>
      </c>
      <c r="Q313" s="85">
        <f t="shared" si="35"/>
        <v>0</v>
      </c>
    </row>
    <row r="314" spans="1:17">
      <c r="A314" s="166">
        <v>16357</v>
      </c>
      <c r="B314" s="167" t="s">
        <v>417</v>
      </c>
      <c r="C314" s="56">
        <v>0</v>
      </c>
      <c r="E314" s="81">
        <v>0</v>
      </c>
      <c r="F314" s="26"/>
      <c r="G314" s="82">
        <v>0</v>
      </c>
      <c r="H314" s="82">
        <f t="shared" si="29"/>
        <v>0</v>
      </c>
      <c r="I314" s="82">
        <v>0</v>
      </c>
      <c r="J314" s="146"/>
      <c r="K314" s="25"/>
      <c r="L314" s="84">
        <f t="shared" si="28"/>
        <v>0</v>
      </c>
      <c r="M314" s="84">
        <f t="shared" si="36"/>
        <v>0</v>
      </c>
      <c r="N314" s="84">
        <f t="shared" si="36"/>
        <v>0</v>
      </c>
      <c r="O314" s="84">
        <f t="shared" si="36"/>
        <v>0</v>
      </c>
      <c r="P314" s="85">
        <f t="shared" si="34"/>
        <v>0</v>
      </c>
      <c r="Q314" s="85">
        <f t="shared" si="35"/>
        <v>0</v>
      </c>
    </row>
    <row r="315" spans="1:17">
      <c r="A315" s="164">
        <v>7339</v>
      </c>
      <c r="B315" s="168" t="s">
        <v>418</v>
      </c>
      <c r="C315" s="57">
        <v>0</v>
      </c>
      <c r="E315" s="81">
        <v>0</v>
      </c>
      <c r="F315" s="26"/>
      <c r="G315" s="82">
        <v>0</v>
      </c>
      <c r="H315" s="82">
        <f t="shared" si="29"/>
        <v>0</v>
      </c>
      <c r="I315" s="82">
        <v>0</v>
      </c>
      <c r="J315" s="146"/>
      <c r="K315" s="25"/>
      <c r="L315" s="84">
        <f t="shared" si="28"/>
        <v>0</v>
      </c>
      <c r="M315" s="84">
        <f t="shared" si="36"/>
        <v>0</v>
      </c>
      <c r="N315" s="84">
        <f t="shared" si="36"/>
        <v>0</v>
      </c>
      <c r="O315" s="84">
        <f t="shared" si="36"/>
        <v>0</v>
      </c>
      <c r="P315" s="85">
        <f t="shared" si="34"/>
        <v>0</v>
      </c>
      <c r="Q315" s="85">
        <f t="shared" si="35"/>
        <v>0</v>
      </c>
    </row>
    <row r="316" spans="1:17">
      <c r="A316" s="166">
        <v>2344</v>
      </c>
      <c r="B316" s="167" t="s">
        <v>407</v>
      </c>
      <c r="C316" s="56">
        <v>0</v>
      </c>
      <c r="E316" s="81">
        <v>0</v>
      </c>
      <c r="F316" s="26"/>
      <c r="G316" s="82">
        <v>0</v>
      </c>
      <c r="H316" s="82">
        <f t="shared" si="29"/>
        <v>0</v>
      </c>
      <c r="I316" s="82">
        <v>0</v>
      </c>
      <c r="J316" s="146"/>
      <c r="K316" s="25"/>
      <c r="L316" s="84">
        <f t="shared" si="28"/>
        <v>0</v>
      </c>
      <c r="M316" s="84">
        <f t="shared" si="36"/>
        <v>0</v>
      </c>
      <c r="N316" s="84">
        <f t="shared" si="36"/>
        <v>0</v>
      </c>
      <c r="O316" s="84">
        <f t="shared" si="36"/>
        <v>0</v>
      </c>
      <c r="P316" s="85">
        <f t="shared" si="34"/>
        <v>0</v>
      </c>
      <c r="Q316" s="85">
        <f t="shared" si="35"/>
        <v>0</v>
      </c>
    </row>
    <row r="317" spans="1:17">
      <c r="A317" s="164">
        <v>2418</v>
      </c>
      <c r="B317" s="168" t="s">
        <v>419</v>
      </c>
      <c r="C317" s="57">
        <v>0</v>
      </c>
      <c r="E317" s="81">
        <v>0</v>
      </c>
      <c r="F317" s="26"/>
      <c r="G317" s="82">
        <v>0</v>
      </c>
      <c r="H317" s="82">
        <f t="shared" si="29"/>
        <v>0</v>
      </c>
      <c r="I317" s="82">
        <v>0</v>
      </c>
      <c r="J317" s="146"/>
      <c r="K317" s="25"/>
      <c r="L317" s="84">
        <f t="shared" si="28"/>
        <v>0</v>
      </c>
      <c r="M317" s="84">
        <f t="shared" si="36"/>
        <v>0</v>
      </c>
      <c r="N317" s="84">
        <f t="shared" si="36"/>
        <v>0</v>
      </c>
      <c r="O317" s="84">
        <f t="shared" si="36"/>
        <v>0</v>
      </c>
      <c r="P317" s="85">
        <f t="shared" si="34"/>
        <v>0</v>
      </c>
      <c r="Q317" s="85">
        <f t="shared" si="35"/>
        <v>0</v>
      </c>
    </row>
    <row r="318" spans="1:17">
      <c r="A318" s="166">
        <v>2345</v>
      </c>
      <c r="B318" s="167" t="s">
        <v>420</v>
      </c>
      <c r="C318" s="56">
        <v>0</v>
      </c>
      <c r="E318" s="81">
        <v>0</v>
      </c>
      <c r="F318" s="26"/>
      <c r="G318" s="82">
        <v>0</v>
      </c>
      <c r="H318" s="82">
        <f t="shared" si="29"/>
        <v>0</v>
      </c>
      <c r="I318" s="82">
        <v>0</v>
      </c>
      <c r="J318" s="146"/>
      <c r="K318" s="25"/>
      <c r="L318" s="84">
        <f t="shared" si="28"/>
        <v>0</v>
      </c>
      <c r="M318" s="84">
        <f t="shared" si="36"/>
        <v>0</v>
      </c>
      <c r="N318" s="84">
        <f t="shared" si="36"/>
        <v>0</v>
      </c>
      <c r="O318" s="84">
        <f t="shared" si="36"/>
        <v>0</v>
      </c>
      <c r="P318" s="85">
        <f t="shared" si="34"/>
        <v>0</v>
      </c>
      <c r="Q318" s="85">
        <f t="shared" si="35"/>
        <v>0</v>
      </c>
    </row>
    <row r="319" spans="1:17">
      <c r="A319" s="164">
        <v>13430</v>
      </c>
      <c r="B319" s="168" t="s">
        <v>421</v>
      </c>
      <c r="C319" s="57">
        <v>0</v>
      </c>
      <c r="E319" s="81">
        <v>0</v>
      </c>
      <c r="F319" s="26"/>
      <c r="G319" s="82">
        <v>0</v>
      </c>
      <c r="H319" s="82">
        <f t="shared" si="29"/>
        <v>0</v>
      </c>
      <c r="I319" s="82">
        <v>0</v>
      </c>
      <c r="J319" s="146"/>
      <c r="K319" s="25"/>
      <c r="L319" s="84">
        <f t="shared" si="28"/>
        <v>0</v>
      </c>
      <c r="M319" s="84">
        <f t="shared" si="36"/>
        <v>0</v>
      </c>
      <c r="N319" s="84">
        <f t="shared" si="36"/>
        <v>0</v>
      </c>
      <c r="O319" s="84">
        <f t="shared" si="36"/>
        <v>0</v>
      </c>
      <c r="P319" s="85">
        <f t="shared" si="34"/>
        <v>0</v>
      </c>
      <c r="Q319" s="85">
        <f t="shared" si="35"/>
        <v>0</v>
      </c>
    </row>
    <row r="320" spans="1:17">
      <c r="A320" s="152"/>
      <c r="B320" s="62"/>
      <c r="C320" s="58"/>
      <c r="E320" s="212"/>
      <c r="F320" s="212"/>
      <c r="G320" s="213"/>
      <c r="H320" s="146"/>
      <c r="I320" s="146"/>
      <c r="J320" s="146"/>
      <c r="K320" s="25"/>
    </row>
    <row r="321" spans="1:16" ht="13.5" thickBot="1">
      <c r="A321" s="152"/>
      <c r="B321" s="153"/>
      <c r="C321" s="30">
        <f>SUM(C5:C320)</f>
        <v>1.0000000000000007</v>
      </c>
      <c r="D321" s="42"/>
      <c r="E321" s="34">
        <f>SUM(E5:E320)</f>
        <v>1</v>
      </c>
      <c r="F321" s="214"/>
      <c r="G321" s="43">
        <f>SUM(G5:G320)</f>
        <v>0</v>
      </c>
      <c r="H321" s="43">
        <f>SUM(H5:H319)</f>
        <v>0</v>
      </c>
      <c r="I321" s="43">
        <f>SUM(I5:I319)</f>
        <v>0</v>
      </c>
      <c r="L321" s="33">
        <f>SUM(L5:L320)</f>
        <v>0</v>
      </c>
      <c r="M321" s="33">
        <f>SUM(M5:M320)</f>
        <v>0</v>
      </c>
      <c r="N321" s="33">
        <f>SUM(N5:N320)</f>
        <v>0</v>
      </c>
      <c r="O321" s="33">
        <f>SUM(O5:O320)</f>
        <v>0</v>
      </c>
      <c r="P321" s="33">
        <f>SUM(P5:P320)</f>
        <v>0</v>
      </c>
    </row>
    <row r="322" spans="1:16" ht="13.5" thickTop="1">
      <c r="A322" s="152"/>
      <c r="B322" s="153"/>
      <c r="C322" s="27"/>
      <c r="E322" s="215"/>
      <c r="F322" s="215"/>
    </row>
    <row r="323" spans="1:16">
      <c r="A323" s="152"/>
      <c r="B323" s="153"/>
      <c r="C323" s="27"/>
      <c r="E323" s="216" t="s">
        <v>380</v>
      </c>
      <c r="F323" s="216"/>
      <c r="G323" s="28">
        <v>-3290349790</v>
      </c>
      <c r="H323" s="203" t="s">
        <v>567</v>
      </c>
      <c r="K323" s="85"/>
    </row>
    <row r="324" spans="1:16">
      <c r="A324" s="152"/>
      <c r="B324" s="153"/>
      <c r="C324" s="27"/>
      <c r="E324" s="216" t="s">
        <v>568</v>
      </c>
      <c r="F324" s="216"/>
      <c r="G324" s="28">
        <f>48109251+658758492</f>
        <v>706867743</v>
      </c>
      <c r="H324" s="203" t="s">
        <v>567</v>
      </c>
      <c r="K324" s="85"/>
    </row>
    <row r="325" spans="1:16">
      <c r="A325" s="152"/>
      <c r="B325" s="153"/>
      <c r="C325" s="27"/>
      <c r="E325" s="216" t="s">
        <v>381</v>
      </c>
      <c r="F325" s="216"/>
      <c r="G325" s="35">
        <f>-524742358-94315095-1189578095</f>
        <v>-1808635548</v>
      </c>
      <c r="H325" s="203" t="s">
        <v>567</v>
      </c>
      <c r="I325" s="217"/>
    </row>
    <row r="326" spans="1:16">
      <c r="A326" s="152"/>
      <c r="B326" s="153"/>
      <c r="C326" s="27"/>
      <c r="E326" s="216" t="s">
        <v>372</v>
      </c>
      <c r="F326" s="216"/>
      <c r="G326" s="28">
        <f>SUM(G323:G325)</f>
        <v>-4392117595</v>
      </c>
    </row>
    <row r="327" spans="1:16">
      <c r="A327" s="152"/>
      <c r="B327" s="153"/>
      <c r="C327" s="27"/>
      <c r="E327" s="215"/>
      <c r="F327" s="215"/>
    </row>
    <row r="329" spans="1:16">
      <c r="C329" s="2"/>
    </row>
  </sheetData>
  <pageMargins left="0.7" right="0.7" top="0.75" bottom="0.75" header="0.3" footer="0.75"/>
  <pageSetup scale="36" firstPageNumber="3" fitToHeight="0" orientation="portrait" useFirstPageNumber="1" r:id="rId1"/>
  <headerFooter differentOddEven="1">
    <oddHeader xml:space="preserve">&amp;L&amp;"Arial,Bold"&amp;14New Mexico Retiree Health Care Authority&amp;"Arial,Regular"&amp;18
&amp;"Arial,Bold"&amp;12Schedule of Employer Allocations
As of and for the Year Ended June 30, 2017
</oddHeader>
    <oddFooter>&amp;R&amp;"Arial,Regular"&amp;10&amp;P</oddFooter>
    <evenHeader xml:space="preserve">&amp;L&amp;"Arial,Bold"&amp;14New Mexico Retiree Health Care Authority&amp;"-,Regular"&amp;11
&amp;"Arial,Bold"&amp;12Schedule of Employer Allocations
As of and for the Year Ended June 30, 2017
</evenHeader>
    <evenFooter>&amp;R&amp;"Arial,Regular"&amp;10&amp;P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Employer Template</vt:lpstr>
      <vt:lpstr>Contribution Allocation_Report</vt:lpstr>
      <vt:lpstr>OPEB Amounts_Report</vt:lpstr>
      <vt:lpstr>PY_OPEB Amounts</vt:lpstr>
      <vt:lpstr>Amortization Tables_Report</vt:lpstr>
      <vt:lpstr>Discount Rate Sensitivity</vt:lpstr>
      <vt:lpstr>Trend Rate Sensitivity</vt:lpstr>
      <vt:lpstr>Change in Proportion Layers</vt:lpstr>
      <vt:lpstr>Change in Proportion Calc</vt:lpstr>
      <vt:lpstr>Contributions_21</vt:lpstr>
      <vt:lpstr>Membership</vt:lpstr>
      <vt:lpstr>Note 3a</vt:lpstr>
      <vt:lpstr>Notes 3b</vt:lpstr>
      <vt:lpstr>Notes 3c</vt:lpstr>
      <vt:lpstr>Note 3d</vt:lpstr>
      <vt:lpstr>Note 5</vt:lpstr>
      <vt:lpstr>Note 5a</vt:lpstr>
      <vt:lpstr>'Amortization Tables_Report'!Print_Area</vt:lpstr>
      <vt:lpstr>'Change in Proportion Calc'!Print_Area</vt:lpstr>
      <vt:lpstr>'Change in Proportion Layers'!Print_Area</vt:lpstr>
      <vt:lpstr>'Contribution Allocation_Report'!Print_Area</vt:lpstr>
      <vt:lpstr>Contributions_21!Print_Area</vt:lpstr>
      <vt:lpstr>'Discount Rate Sensitivity'!Print_Area</vt:lpstr>
      <vt:lpstr>'OPEB Amounts_Report'!Print_Area</vt:lpstr>
      <vt:lpstr>'PY_OPEB Amounts'!Print_Area</vt:lpstr>
      <vt:lpstr>'Trend Rate Sensitivity'!Print_Area</vt:lpstr>
      <vt:lpstr>'Amortization Tables_Report'!Print_Titles</vt:lpstr>
      <vt:lpstr>'Contribution Allocation_Report'!Print_Titles</vt:lpstr>
      <vt:lpstr>Contributions_21!Print_Titles</vt:lpstr>
      <vt:lpstr>'Discount Rate Sensitivity'!Print_Titles</vt:lpstr>
      <vt:lpstr>'OPEB Amounts_Report'!Print_Titles</vt:lpstr>
      <vt:lpstr>'PY_OPEB Amounts'!Print_Titles</vt:lpstr>
      <vt:lpstr>'Trend Rate Sensitivity'!Print_Titles</vt:lpstr>
    </vt:vector>
  </TitlesOfParts>
  <Company>The Segal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Kirby, Mary</dc:creator>
  <cp:lastModifiedBy>Aaron Hamilton</cp:lastModifiedBy>
  <cp:lastPrinted>2022-06-06T17:19:33Z</cp:lastPrinted>
  <dcterms:created xsi:type="dcterms:W3CDTF">2018-04-03T19:34:07Z</dcterms:created>
  <dcterms:modified xsi:type="dcterms:W3CDTF">2023-06-30T17:38:43Z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User Guide (Non Attest)</vt:lpwstr>
  </property>
  <property fmtid="{D5CDD505-2E9C-101B-9397-08002B2CF9AE}" pid="4" name="tabIndex">
    <vt:lpwstr>A-105</vt:lpwstr>
  </property>
  <property fmtid="{D5CDD505-2E9C-101B-9397-08002B2CF9AE}" pid="5" name="workpaperIndex">
    <vt:lpwstr>A-105</vt:lpwstr>
  </property>
</Properties>
</file>